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" yWindow="-12" windowWidth="19920" windowHeight="9444" tabRatio="793"/>
  </bookViews>
  <sheets>
    <sheet name="IBS Action Plan 20170131" sheetId="4" r:id="rId1"/>
    <sheet name="Licensee AAC Capacity" sheetId="8" r:id="rId2"/>
    <sheet name="Constrained Slide" sheetId="9" r:id="rId3"/>
    <sheet name="Total AOS Slide" sheetId="10" r:id="rId4"/>
    <sheet name="Assumptions" sheetId="7" r:id="rId5"/>
    <sheet name="MK TSA" sheetId="5" r:id="rId6"/>
    <sheet name="PG TSA" sheetId="6" r:id="rId7"/>
    <sheet name="Pie chart info" sheetId="12" r:id="rId8"/>
  </sheets>
  <definedNames>
    <definedName name="_xlnm.Print_Area" localSheetId="2">'Constrained Slide'!$A$1:$X$77</definedName>
    <definedName name="_xlnm.Print_Area" localSheetId="0">'IBS Action Plan 20170131'!$A$1:$Z$79</definedName>
    <definedName name="_xlnm.Print_Area" localSheetId="1">'Licensee AAC Capacity'!$A$1:$L$27</definedName>
    <definedName name="_xlnm.Print_Area" localSheetId="5">'MK TSA'!$A$1:$Y$77</definedName>
    <definedName name="_xlnm.Print_Area" localSheetId="6">'PG TSA'!$A$1:$Y$77</definedName>
  </definedNames>
  <calcPr calcId="145621"/>
  <customWorkbookViews>
    <customWorkbookView name="A16 summary" guid="{8FB5EF22-13C8-4C70-BFAA-018719F29ED4}" maximized="1" windowWidth="1920" windowHeight="755" activeSheetId="3"/>
    <customWorkbookView name="NDU summary" guid="{5B6D9C0B-93F8-4310-87BC-E458477F8726}" maximized="1" windowWidth="1920" windowHeight="755" activeSheetId="3"/>
    <customWorkbookView name="summary by area" guid="{DA6354BD-EF8B-4162-9284-E9A0AACA156B}" maximized="1" windowWidth="1920" windowHeight="755" activeSheetId="3"/>
    <customWorkbookView name="A17 summary" guid="{575D91E3-E7C4-44B8-9F5E-31E2325C94B3}" maximized="1" windowWidth="1920" windowHeight="755" activeSheetId="3"/>
    <customWorkbookView name="Sinclar schedule" guid="{52DCE701-D980-40C7-B016-93C3EE2EFEF8}" maximized="1" windowWidth="1920" windowHeight="755" activeSheetId="3"/>
    <customWorkbookView name="Cut calc" guid="{4352C2D6-05EA-4562-885C-92D180EE83F1}" maximized="1" windowWidth="1920" windowHeight="755" activeSheetId="3"/>
    <customWorkbookView name="Plan summary" guid="{9EE91D08-F801-451C-8940-276851F31956}" maximized="1" windowWidth="1920" windowHeight="755" activeSheetId="3"/>
  </customWorkbookViews>
</workbook>
</file>

<file path=xl/calcChain.xml><?xml version="1.0" encoding="utf-8"?>
<calcChain xmlns="http://schemas.openxmlformats.org/spreadsheetml/2006/main">
  <c r="Y75" i="10" l="1"/>
  <c r="Y73" i="10"/>
  <c r="Y28" i="10"/>
  <c r="Y13" i="10"/>
  <c r="H74" i="4"/>
  <c r="H76" i="4"/>
  <c r="I11" i="4"/>
  <c r="X14" i="10" l="1"/>
  <c r="X15" i="10"/>
  <c r="X16" i="10"/>
  <c r="X17" i="10"/>
  <c r="X18" i="10"/>
  <c r="X19" i="10"/>
  <c r="X20" i="10"/>
  <c r="X21" i="10"/>
  <c r="X22" i="10"/>
  <c r="X23" i="10"/>
  <c r="X24" i="10"/>
  <c r="X25" i="10"/>
  <c r="X26" i="10"/>
  <c r="X27" i="10"/>
  <c r="Y20" i="10"/>
  <c r="Y26" i="10"/>
  <c r="P14" i="10"/>
  <c r="Q14" i="10"/>
  <c r="R14" i="10"/>
  <c r="S14" i="10"/>
  <c r="T14" i="10"/>
  <c r="U14" i="10"/>
  <c r="V14" i="10"/>
  <c r="W14" i="10"/>
  <c r="P15" i="10"/>
  <c r="Q15" i="10"/>
  <c r="R15" i="10"/>
  <c r="S15" i="10"/>
  <c r="T15" i="10"/>
  <c r="U15" i="10"/>
  <c r="V15" i="10"/>
  <c r="W15" i="10"/>
  <c r="P16" i="10"/>
  <c r="Q16" i="10"/>
  <c r="R16" i="10"/>
  <c r="S16" i="10"/>
  <c r="T16" i="10"/>
  <c r="U16" i="10"/>
  <c r="V16" i="10"/>
  <c r="W16" i="10"/>
  <c r="P17" i="10"/>
  <c r="Q17" i="10"/>
  <c r="R17" i="10"/>
  <c r="S17" i="10"/>
  <c r="T17" i="10"/>
  <c r="U17" i="10"/>
  <c r="V17" i="10"/>
  <c r="W17" i="10"/>
  <c r="P18" i="10"/>
  <c r="Q18" i="10"/>
  <c r="R18" i="10"/>
  <c r="S18" i="10"/>
  <c r="T18" i="10"/>
  <c r="U18" i="10"/>
  <c r="V18" i="10"/>
  <c r="W18" i="10"/>
  <c r="P19" i="10"/>
  <c r="Q19" i="10"/>
  <c r="R19" i="10"/>
  <c r="S19" i="10"/>
  <c r="T19" i="10"/>
  <c r="U19" i="10"/>
  <c r="V19" i="10"/>
  <c r="W19" i="10"/>
  <c r="P20" i="10"/>
  <c r="Q20" i="10"/>
  <c r="R20" i="10"/>
  <c r="S20" i="10"/>
  <c r="T20" i="10"/>
  <c r="U20" i="10"/>
  <c r="V20" i="10"/>
  <c r="W20" i="10"/>
  <c r="P21" i="10"/>
  <c r="Q21" i="10"/>
  <c r="R21" i="10"/>
  <c r="S21" i="10"/>
  <c r="T21" i="10"/>
  <c r="U21" i="10"/>
  <c r="V21" i="10"/>
  <c r="W21" i="10"/>
  <c r="P22" i="10"/>
  <c r="Q22" i="10"/>
  <c r="R22" i="10"/>
  <c r="S22" i="10"/>
  <c r="T22" i="10"/>
  <c r="U22" i="10"/>
  <c r="V22" i="10"/>
  <c r="W22" i="10"/>
  <c r="P23" i="10"/>
  <c r="Q23" i="10"/>
  <c r="R23" i="10"/>
  <c r="S23" i="10"/>
  <c r="T23" i="10"/>
  <c r="U23" i="10"/>
  <c r="V23" i="10"/>
  <c r="W23" i="10"/>
  <c r="P24" i="10"/>
  <c r="Q24" i="10"/>
  <c r="R24" i="10"/>
  <c r="S24" i="10"/>
  <c r="T24" i="10"/>
  <c r="U24" i="10"/>
  <c r="V24" i="10"/>
  <c r="W24" i="10"/>
  <c r="P25" i="10"/>
  <c r="Q25" i="10"/>
  <c r="R25" i="10"/>
  <c r="S25" i="10"/>
  <c r="T25" i="10"/>
  <c r="U25" i="10"/>
  <c r="V25" i="10"/>
  <c r="W25" i="10"/>
  <c r="P26" i="10"/>
  <c r="Q26" i="10"/>
  <c r="R26" i="10"/>
  <c r="S26" i="10"/>
  <c r="T26" i="10"/>
  <c r="U26" i="10"/>
  <c r="V26" i="10"/>
  <c r="W26" i="10"/>
  <c r="P27" i="10"/>
  <c r="Q27" i="10"/>
  <c r="R27" i="10"/>
  <c r="S27" i="10"/>
  <c r="T27" i="10"/>
  <c r="U27" i="10"/>
  <c r="V27" i="10"/>
  <c r="W27" i="10"/>
  <c r="P28" i="10"/>
  <c r="Q28" i="10"/>
  <c r="R28" i="10"/>
  <c r="S28" i="10"/>
  <c r="T28" i="10"/>
  <c r="U28" i="10"/>
  <c r="V28" i="10"/>
  <c r="W28" i="10"/>
  <c r="O15" i="10"/>
  <c r="O16" i="10"/>
  <c r="O17" i="10"/>
  <c r="O18" i="10"/>
  <c r="O19" i="10"/>
  <c r="O20" i="10"/>
  <c r="O21" i="10"/>
  <c r="O22" i="10"/>
  <c r="O23" i="10"/>
  <c r="O24" i="10"/>
  <c r="O25" i="10"/>
  <c r="O26" i="10"/>
  <c r="O27" i="10"/>
  <c r="O28" i="10"/>
  <c r="O14" i="10"/>
  <c r="U9" i="10"/>
  <c r="Z75" i="4"/>
  <c r="J13" i="12" l="1"/>
  <c r="D6" i="12"/>
  <c r="E6" i="12"/>
  <c r="F6" i="12"/>
  <c r="G6" i="12"/>
  <c r="H6" i="12"/>
  <c r="C6" i="12"/>
  <c r="U75" i="9"/>
  <c r="H8" i="12"/>
  <c r="H13" i="12" s="1"/>
  <c r="D12" i="12"/>
  <c r="E12" i="12"/>
  <c r="F12" i="12"/>
  <c r="G12" i="12"/>
  <c r="H12" i="12"/>
  <c r="C12" i="12"/>
  <c r="U28" i="9"/>
  <c r="V75" i="4"/>
  <c r="W75" i="4"/>
  <c r="X75" i="4"/>
  <c r="I13" i="12" l="1"/>
  <c r="J28" i="12"/>
  <c r="X73" i="4"/>
  <c r="X72" i="4"/>
  <c r="X59" i="4"/>
  <c r="X41" i="4"/>
  <c r="X28" i="4"/>
  <c r="X27" i="4"/>
  <c r="X23" i="4"/>
  <c r="X13" i="4"/>
  <c r="W13" i="4"/>
  <c r="W23" i="4"/>
  <c r="W27" i="4"/>
  <c r="W28" i="4" s="1"/>
  <c r="W41" i="4"/>
  <c r="W59" i="4"/>
  <c r="W72" i="4"/>
  <c r="V28" i="4"/>
  <c r="V27" i="4"/>
  <c r="V23" i="4"/>
  <c r="V13" i="4"/>
  <c r="Q13" i="4"/>
  <c r="Q23" i="4"/>
  <c r="Q27" i="4"/>
  <c r="Q41" i="4"/>
  <c r="Q59" i="4"/>
  <c r="Q72" i="4"/>
  <c r="V72" i="4" s="1"/>
  <c r="V59" i="4"/>
  <c r="V41" i="4"/>
  <c r="D9" i="12"/>
  <c r="E9" i="12"/>
  <c r="F9" i="12"/>
  <c r="G9" i="12"/>
  <c r="H9" i="12"/>
  <c r="C9" i="12"/>
  <c r="D10" i="12"/>
  <c r="E10" i="12"/>
  <c r="F10" i="12"/>
  <c r="G10" i="12"/>
  <c r="H10" i="12"/>
  <c r="C10" i="12"/>
  <c r="Z15" i="4"/>
  <c r="V16" i="4"/>
  <c r="V17" i="4"/>
  <c r="V20" i="4"/>
  <c r="V14" i="4"/>
  <c r="V73" i="4" l="1"/>
  <c r="H10" i="8"/>
  <c r="H11" i="8"/>
  <c r="Y5" i="10" l="1"/>
  <c r="W34" i="4" l="1"/>
  <c r="X34" i="4"/>
  <c r="W35" i="4"/>
  <c r="X35" i="4"/>
  <c r="W36" i="4"/>
  <c r="X36" i="4"/>
  <c r="J19" i="12" l="1"/>
  <c r="J18" i="12"/>
  <c r="J17" i="12"/>
  <c r="B28" i="12"/>
  <c r="B27" i="12"/>
  <c r="B26" i="12"/>
  <c r="B25" i="12"/>
  <c r="B24" i="12"/>
  <c r="B23" i="12"/>
  <c r="B22" i="12"/>
  <c r="B21" i="12"/>
  <c r="B20" i="12"/>
  <c r="I19" i="12"/>
  <c r="H19" i="12"/>
  <c r="G19" i="12"/>
  <c r="F19" i="12"/>
  <c r="E19" i="12"/>
  <c r="D19" i="12"/>
  <c r="C19" i="12"/>
  <c r="H18" i="12"/>
  <c r="G18" i="12"/>
  <c r="I17" i="12"/>
  <c r="H17" i="12"/>
  <c r="G17" i="12"/>
  <c r="V48" i="4"/>
  <c r="V49" i="4"/>
  <c r="V50" i="4"/>
  <c r="V51" i="4"/>
  <c r="V52" i="4"/>
  <c r="V53" i="4"/>
  <c r="V54" i="4"/>
  <c r="V55" i="4"/>
  <c r="V56" i="4"/>
  <c r="V57" i="4"/>
  <c r="V58" i="4"/>
  <c r="P9" i="9"/>
  <c r="C5" i="12" l="1"/>
  <c r="H9" i="4"/>
  <c r="M20" i="4" l="1"/>
  <c r="M26" i="4"/>
  <c r="M33" i="4"/>
  <c r="M37" i="4"/>
  <c r="M45" i="4"/>
  <c r="M50" i="4"/>
  <c r="C23" i="4"/>
  <c r="C21" i="12" s="1"/>
  <c r="B2" i="10" l="1"/>
  <c r="B1" i="10"/>
  <c r="L13" i="4" l="1"/>
  <c r="G9" i="10" l="1"/>
  <c r="X72" i="10"/>
  <c r="V72" i="10"/>
  <c r="T72" i="10"/>
  <c r="S72" i="10"/>
  <c r="R72" i="10"/>
  <c r="Q72" i="10"/>
  <c r="P72" i="10"/>
  <c r="K72" i="10"/>
  <c r="C72" i="10"/>
  <c r="U71" i="10"/>
  <c r="L71" i="10"/>
  <c r="H71" i="10"/>
  <c r="G71" i="10"/>
  <c r="U70" i="10"/>
  <c r="L70" i="10"/>
  <c r="H70" i="10"/>
  <c r="G70" i="10"/>
  <c r="U69" i="10"/>
  <c r="L69" i="10"/>
  <c r="H69" i="10"/>
  <c r="G69" i="10"/>
  <c r="U68" i="10"/>
  <c r="L68" i="10"/>
  <c r="H68" i="10"/>
  <c r="G68" i="10"/>
  <c r="U67" i="10"/>
  <c r="L67" i="10"/>
  <c r="H67" i="10"/>
  <c r="G67" i="10"/>
  <c r="U66" i="10"/>
  <c r="J66" i="10"/>
  <c r="F66" i="10"/>
  <c r="E66" i="10"/>
  <c r="U65" i="10"/>
  <c r="L65" i="10"/>
  <c r="H65" i="10"/>
  <c r="G65" i="10"/>
  <c r="U64" i="10"/>
  <c r="W64" i="10" s="1"/>
  <c r="J64" i="10"/>
  <c r="F64" i="10"/>
  <c r="E64" i="10"/>
  <c r="D64" i="10"/>
  <c r="U63" i="10"/>
  <c r="W63" i="10" s="1"/>
  <c r="J63" i="10"/>
  <c r="F63" i="10"/>
  <c r="E63" i="10"/>
  <c r="D63" i="10"/>
  <c r="U62" i="10"/>
  <c r="W62" i="10" s="1"/>
  <c r="J62" i="10"/>
  <c r="F62" i="10"/>
  <c r="E62" i="10"/>
  <c r="G62" i="10" s="1"/>
  <c r="U61" i="10"/>
  <c r="L61" i="10"/>
  <c r="H61" i="10"/>
  <c r="G61" i="10"/>
  <c r="U60" i="10"/>
  <c r="L60" i="10"/>
  <c r="H60" i="10"/>
  <c r="G60" i="10"/>
  <c r="X59" i="10"/>
  <c r="W59" i="10"/>
  <c r="V59" i="10"/>
  <c r="T59" i="10"/>
  <c r="S59" i="10"/>
  <c r="R59" i="10"/>
  <c r="Q59" i="10"/>
  <c r="P59" i="10"/>
  <c r="L59" i="10"/>
  <c r="K59" i="10"/>
  <c r="J59" i="10"/>
  <c r="F59" i="10"/>
  <c r="E59" i="10"/>
  <c r="D59" i="10"/>
  <c r="C59" i="10"/>
  <c r="U58" i="10"/>
  <c r="H58" i="10"/>
  <c r="G58" i="10"/>
  <c r="U57" i="10"/>
  <c r="H57" i="10"/>
  <c r="G57" i="10"/>
  <c r="U56" i="10"/>
  <c r="H56" i="10"/>
  <c r="G56" i="10"/>
  <c r="U55" i="10"/>
  <c r="H55" i="10"/>
  <c r="G55" i="10"/>
  <c r="U54" i="10"/>
  <c r="H54" i="10"/>
  <c r="G54" i="10"/>
  <c r="U53" i="10"/>
  <c r="H53" i="10"/>
  <c r="G53" i="10"/>
  <c r="U52" i="10"/>
  <c r="H52" i="10"/>
  <c r="G52" i="10"/>
  <c r="U51" i="10"/>
  <c r="H51" i="10"/>
  <c r="G51" i="10"/>
  <c r="U50" i="10"/>
  <c r="Y50" i="10" s="1"/>
  <c r="I50" i="10"/>
  <c r="H50" i="10"/>
  <c r="U49" i="10"/>
  <c r="H49" i="10"/>
  <c r="G49" i="10"/>
  <c r="U48" i="10"/>
  <c r="H48" i="10"/>
  <c r="G48" i="10"/>
  <c r="U47" i="10"/>
  <c r="H47" i="10"/>
  <c r="G47" i="10"/>
  <c r="U46" i="10"/>
  <c r="H46" i="10"/>
  <c r="G46" i="10"/>
  <c r="U45" i="10"/>
  <c r="Y45" i="10" s="1"/>
  <c r="I45" i="10"/>
  <c r="H45" i="10"/>
  <c r="U44" i="10"/>
  <c r="H44" i="10"/>
  <c r="G44" i="10"/>
  <c r="U43" i="10"/>
  <c r="H43" i="10"/>
  <c r="G43" i="10"/>
  <c r="U42" i="10"/>
  <c r="H42" i="10"/>
  <c r="G42" i="10"/>
  <c r="W41" i="10"/>
  <c r="V41" i="10"/>
  <c r="T41" i="10"/>
  <c r="S41" i="10"/>
  <c r="R41" i="10"/>
  <c r="Q41" i="10"/>
  <c r="P41" i="10"/>
  <c r="L41" i="10"/>
  <c r="K41" i="10"/>
  <c r="J41" i="10"/>
  <c r="F41" i="10"/>
  <c r="E41" i="10"/>
  <c r="D41" i="10"/>
  <c r="C41" i="10"/>
  <c r="U40" i="10"/>
  <c r="H40" i="10"/>
  <c r="G40" i="10"/>
  <c r="U39" i="10"/>
  <c r="H39" i="10"/>
  <c r="G39" i="10"/>
  <c r="U38" i="10"/>
  <c r="H38" i="10"/>
  <c r="G38" i="10"/>
  <c r="U37" i="10"/>
  <c r="Y37" i="10" s="1"/>
  <c r="I37" i="10"/>
  <c r="H37" i="10"/>
  <c r="U36" i="10"/>
  <c r="H36" i="10"/>
  <c r="G36" i="10"/>
  <c r="U35" i="10"/>
  <c r="H35" i="10"/>
  <c r="G35" i="10"/>
  <c r="U34" i="10"/>
  <c r="H34" i="10"/>
  <c r="G34" i="10"/>
  <c r="U33" i="10"/>
  <c r="Y33" i="10" s="1"/>
  <c r="I33" i="10"/>
  <c r="H33" i="10"/>
  <c r="U32" i="10"/>
  <c r="H32" i="10"/>
  <c r="G32" i="10"/>
  <c r="U31" i="10"/>
  <c r="H31" i="10"/>
  <c r="G31" i="10"/>
  <c r="U30" i="10"/>
  <c r="H30" i="10"/>
  <c r="G30" i="10"/>
  <c r="L27" i="10"/>
  <c r="K27" i="10"/>
  <c r="J27" i="10"/>
  <c r="F27" i="10"/>
  <c r="E27" i="10"/>
  <c r="D27" i="10"/>
  <c r="C27" i="10"/>
  <c r="I26" i="10"/>
  <c r="H26" i="10"/>
  <c r="H25" i="10"/>
  <c r="G25" i="10"/>
  <c r="Y25" i="10" s="1"/>
  <c r="H24" i="10"/>
  <c r="G24" i="10"/>
  <c r="Y24" i="10" s="1"/>
  <c r="L23" i="10"/>
  <c r="K23" i="10"/>
  <c r="J23" i="10"/>
  <c r="F23" i="10"/>
  <c r="E23" i="10"/>
  <c r="D23" i="10"/>
  <c r="C23" i="10"/>
  <c r="H22" i="10"/>
  <c r="G22" i="10"/>
  <c r="Y22" i="10" s="1"/>
  <c r="H21" i="10"/>
  <c r="G21" i="10"/>
  <c r="Y21" i="10" s="1"/>
  <c r="I20" i="10"/>
  <c r="H20" i="10"/>
  <c r="H19" i="10"/>
  <c r="G19" i="10"/>
  <c r="Y19" i="10" s="1"/>
  <c r="H18" i="10"/>
  <c r="G18" i="10"/>
  <c r="Y18" i="10" s="1"/>
  <c r="H17" i="10"/>
  <c r="G17" i="10"/>
  <c r="Y17" i="10" s="1"/>
  <c r="H16" i="10"/>
  <c r="G16" i="10"/>
  <c r="Y16" i="10" s="1"/>
  <c r="H15" i="10"/>
  <c r="G15" i="10"/>
  <c r="Y15" i="10" s="1"/>
  <c r="H14" i="10"/>
  <c r="G14" i="10"/>
  <c r="Y14" i="10" s="1"/>
  <c r="W13" i="10"/>
  <c r="V13" i="10"/>
  <c r="T13" i="10"/>
  <c r="S13" i="10"/>
  <c r="R13" i="10"/>
  <c r="Q13" i="10"/>
  <c r="P13" i="10"/>
  <c r="L13" i="10"/>
  <c r="K13" i="10"/>
  <c r="J13" i="10"/>
  <c r="F13" i="10"/>
  <c r="E13" i="10"/>
  <c r="D13" i="10"/>
  <c r="C13" i="10"/>
  <c r="U12" i="10"/>
  <c r="H12" i="10"/>
  <c r="G12" i="10"/>
  <c r="U11" i="10"/>
  <c r="H11" i="10"/>
  <c r="G11" i="10"/>
  <c r="U10" i="10"/>
  <c r="H10" i="10"/>
  <c r="G10" i="10"/>
  <c r="H9" i="10"/>
  <c r="I9" i="10"/>
  <c r="O54" i="9"/>
  <c r="B9" i="9"/>
  <c r="Q9" i="9"/>
  <c r="R9" i="9"/>
  <c r="S9" i="9"/>
  <c r="T9" i="9"/>
  <c r="V9" i="9"/>
  <c r="W9" i="9"/>
  <c r="X9" i="9"/>
  <c r="P10" i="9"/>
  <c r="Q10" i="9"/>
  <c r="R10" i="9"/>
  <c r="S10" i="9"/>
  <c r="T10" i="9"/>
  <c r="V10" i="9"/>
  <c r="W10" i="9"/>
  <c r="X10" i="9"/>
  <c r="P11" i="9"/>
  <c r="Q11" i="9"/>
  <c r="R11" i="9"/>
  <c r="S11" i="9"/>
  <c r="T11" i="9"/>
  <c r="V11" i="9"/>
  <c r="W11" i="9"/>
  <c r="X11" i="9"/>
  <c r="P12" i="9"/>
  <c r="Q12" i="9"/>
  <c r="R12" i="9"/>
  <c r="S12" i="9"/>
  <c r="T12" i="9"/>
  <c r="V12" i="9"/>
  <c r="W12" i="9"/>
  <c r="X12" i="9"/>
  <c r="X13" i="9"/>
  <c r="P14" i="9"/>
  <c r="Q14" i="9"/>
  <c r="R14" i="9"/>
  <c r="S14" i="9"/>
  <c r="T14" i="9"/>
  <c r="V14" i="9"/>
  <c r="W14" i="9"/>
  <c r="X14" i="9"/>
  <c r="P15" i="9"/>
  <c r="Q15" i="9"/>
  <c r="R15" i="9"/>
  <c r="S15" i="9"/>
  <c r="T15" i="9"/>
  <c r="V15" i="9"/>
  <c r="W15" i="9"/>
  <c r="X15" i="9"/>
  <c r="P16" i="9"/>
  <c r="Q16" i="9"/>
  <c r="R16" i="9"/>
  <c r="S16" i="9"/>
  <c r="T16" i="9"/>
  <c r="V16" i="9"/>
  <c r="W16" i="9"/>
  <c r="X16" i="9"/>
  <c r="P17" i="9"/>
  <c r="Q17" i="9"/>
  <c r="R17" i="9"/>
  <c r="S17" i="9"/>
  <c r="T17" i="9"/>
  <c r="V17" i="9"/>
  <c r="W17" i="9"/>
  <c r="X17" i="9"/>
  <c r="P18" i="9"/>
  <c r="Q18" i="9"/>
  <c r="R18" i="9"/>
  <c r="S18" i="9"/>
  <c r="T18" i="9"/>
  <c r="V18" i="9"/>
  <c r="W18" i="9"/>
  <c r="X18" i="9"/>
  <c r="P19" i="9"/>
  <c r="Q19" i="9"/>
  <c r="R19" i="9"/>
  <c r="S19" i="9"/>
  <c r="T19" i="9"/>
  <c r="V19" i="9"/>
  <c r="W19" i="9"/>
  <c r="X19" i="9"/>
  <c r="P20" i="9"/>
  <c r="Q20" i="9"/>
  <c r="R20" i="9"/>
  <c r="S20" i="9"/>
  <c r="T20" i="9"/>
  <c r="V20" i="9"/>
  <c r="W20" i="9"/>
  <c r="X20" i="9"/>
  <c r="P21" i="9"/>
  <c r="Q21" i="9"/>
  <c r="R21" i="9"/>
  <c r="S21" i="9"/>
  <c r="T21" i="9"/>
  <c r="V21" i="9"/>
  <c r="W21" i="9"/>
  <c r="X21" i="9"/>
  <c r="P22" i="9"/>
  <c r="Q22" i="9"/>
  <c r="R22" i="9"/>
  <c r="S22" i="9"/>
  <c r="T22" i="9"/>
  <c r="V22" i="9"/>
  <c r="W22" i="9"/>
  <c r="X22" i="9"/>
  <c r="X23" i="9"/>
  <c r="P24" i="9"/>
  <c r="Q24" i="9"/>
  <c r="R24" i="9"/>
  <c r="S24" i="9"/>
  <c r="T24" i="9"/>
  <c r="V24" i="9"/>
  <c r="W24" i="9"/>
  <c r="X24" i="9"/>
  <c r="P25" i="9"/>
  <c r="Q25" i="9"/>
  <c r="R25" i="9"/>
  <c r="S25" i="9"/>
  <c r="T25" i="9"/>
  <c r="V25" i="9"/>
  <c r="W25" i="9"/>
  <c r="X25" i="9"/>
  <c r="P26" i="9"/>
  <c r="Q26" i="9"/>
  <c r="R26" i="9"/>
  <c r="S26" i="9"/>
  <c r="T26" i="9"/>
  <c r="V26" i="9"/>
  <c r="W26" i="9"/>
  <c r="X26" i="9"/>
  <c r="X28" i="9"/>
  <c r="P29" i="9"/>
  <c r="Q29" i="9"/>
  <c r="R29" i="9"/>
  <c r="S29" i="9"/>
  <c r="T29" i="9"/>
  <c r="U29" i="9"/>
  <c r="V29" i="9"/>
  <c r="W29" i="9"/>
  <c r="X29" i="9"/>
  <c r="P30" i="9"/>
  <c r="Q30" i="9"/>
  <c r="R30" i="9"/>
  <c r="S30" i="9"/>
  <c r="T30" i="9"/>
  <c r="V30" i="9"/>
  <c r="W30" i="9"/>
  <c r="X30" i="9"/>
  <c r="P31" i="9"/>
  <c r="Q31" i="9"/>
  <c r="R31" i="9"/>
  <c r="S31" i="9"/>
  <c r="T31" i="9"/>
  <c r="V31" i="9"/>
  <c r="W31" i="9"/>
  <c r="X31" i="9"/>
  <c r="P32" i="9"/>
  <c r="Q32" i="9"/>
  <c r="R32" i="9"/>
  <c r="S32" i="9"/>
  <c r="T32" i="9"/>
  <c r="X32" i="9"/>
  <c r="P33" i="9"/>
  <c r="Q33" i="9"/>
  <c r="R33" i="9"/>
  <c r="S33" i="9"/>
  <c r="T33" i="9"/>
  <c r="X33" i="9"/>
  <c r="P34" i="9"/>
  <c r="Q34" i="9"/>
  <c r="R34" i="9"/>
  <c r="S34" i="9"/>
  <c r="T34" i="9"/>
  <c r="V34" i="9"/>
  <c r="W34" i="9"/>
  <c r="X34" i="9"/>
  <c r="P35" i="9"/>
  <c r="Q35" i="9"/>
  <c r="R35" i="9"/>
  <c r="S35" i="9"/>
  <c r="T35" i="9"/>
  <c r="V35" i="9"/>
  <c r="W35" i="9"/>
  <c r="X35" i="9"/>
  <c r="P36" i="9"/>
  <c r="Q36" i="9"/>
  <c r="R36" i="9"/>
  <c r="S36" i="9"/>
  <c r="T36" i="9"/>
  <c r="V36" i="9"/>
  <c r="W36" i="9"/>
  <c r="X36" i="9"/>
  <c r="P37" i="9"/>
  <c r="Q37" i="9"/>
  <c r="R37" i="9"/>
  <c r="S37" i="9"/>
  <c r="T37" i="9"/>
  <c r="X37" i="9"/>
  <c r="P38" i="9"/>
  <c r="Q38" i="9"/>
  <c r="R38" i="9"/>
  <c r="S38" i="9"/>
  <c r="T38" i="9"/>
  <c r="X38" i="9"/>
  <c r="P39" i="9"/>
  <c r="Q39" i="9"/>
  <c r="R39" i="9"/>
  <c r="S39" i="9"/>
  <c r="T39" i="9"/>
  <c r="X39" i="9"/>
  <c r="P40" i="9"/>
  <c r="Q40" i="9"/>
  <c r="R40" i="9"/>
  <c r="S40" i="9"/>
  <c r="T40" i="9"/>
  <c r="V40" i="9"/>
  <c r="W40" i="9"/>
  <c r="X40" i="9"/>
  <c r="X41" i="9"/>
  <c r="P42" i="9"/>
  <c r="Q42" i="9"/>
  <c r="R42" i="9"/>
  <c r="S42" i="9"/>
  <c r="T42" i="9"/>
  <c r="V42" i="9"/>
  <c r="W42" i="9"/>
  <c r="X42" i="9"/>
  <c r="P43" i="9"/>
  <c r="Q43" i="9"/>
  <c r="R43" i="9"/>
  <c r="S43" i="9"/>
  <c r="T43" i="9"/>
  <c r="V43" i="9"/>
  <c r="W43" i="9"/>
  <c r="X43" i="9"/>
  <c r="P44" i="9"/>
  <c r="Q44" i="9"/>
  <c r="R44" i="9"/>
  <c r="S44" i="9"/>
  <c r="T44" i="9"/>
  <c r="V44" i="9"/>
  <c r="W44" i="9"/>
  <c r="X44" i="9"/>
  <c r="P45" i="9"/>
  <c r="Q45" i="9"/>
  <c r="R45" i="9"/>
  <c r="S45" i="9"/>
  <c r="T45" i="9"/>
  <c r="V45" i="9"/>
  <c r="W45" i="9"/>
  <c r="X45" i="9"/>
  <c r="P46" i="9"/>
  <c r="Q46" i="9"/>
  <c r="R46" i="9"/>
  <c r="S46" i="9"/>
  <c r="T46" i="9"/>
  <c r="V46" i="9"/>
  <c r="W46" i="9"/>
  <c r="X46" i="9"/>
  <c r="P47" i="9"/>
  <c r="Q47" i="9"/>
  <c r="R47" i="9"/>
  <c r="S47" i="9"/>
  <c r="T47" i="9"/>
  <c r="V47" i="9"/>
  <c r="W47" i="9"/>
  <c r="X47" i="9"/>
  <c r="P48" i="9"/>
  <c r="Q48" i="9"/>
  <c r="R48" i="9"/>
  <c r="S48" i="9"/>
  <c r="T48" i="9"/>
  <c r="V48" i="9"/>
  <c r="W48" i="9"/>
  <c r="X48" i="9"/>
  <c r="P49" i="9"/>
  <c r="Q49" i="9"/>
  <c r="R49" i="9"/>
  <c r="S49" i="9"/>
  <c r="T49" i="9"/>
  <c r="V49" i="9"/>
  <c r="W49" i="9"/>
  <c r="X49" i="9"/>
  <c r="P50" i="9"/>
  <c r="Q50" i="9"/>
  <c r="R50" i="9"/>
  <c r="S50" i="9"/>
  <c r="T50" i="9"/>
  <c r="V50" i="9"/>
  <c r="W50" i="9"/>
  <c r="X50" i="9"/>
  <c r="P51" i="9"/>
  <c r="Q51" i="9"/>
  <c r="R51" i="9"/>
  <c r="S51" i="9"/>
  <c r="T51" i="9"/>
  <c r="V51" i="9"/>
  <c r="W51" i="9"/>
  <c r="X51" i="9"/>
  <c r="P52" i="9"/>
  <c r="Q52" i="9"/>
  <c r="R52" i="9"/>
  <c r="S52" i="9"/>
  <c r="T52" i="9"/>
  <c r="V52" i="9"/>
  <c r="W52" i="9"/>
  <c r="X52" i="9"/>
  <c r="P53" i="9"/>
  <c r="Q53" i="9"/>
  <c r="R53" i="9"/>
  <c r="S53" i="9"/>
  <c r="T53" i="9"/>
  <c r="V53" i="9"/>
  <c r="W53" i="9"/>
  <c r="X53" i="9"/>
  <c r="P54" i="9"/>
  <c r="C11" i="12" s="1"/>
  <c r="Q54" i="9"/>
  <c r="D11" i="12" s="1"/>
  <c r="R54" i="9"/>
  <c r="E11" i="12" s="1"/>
  <c r="S54" i="9"/>
  <c r="F11" i="12" s="1"/>
  <c r="T54" i="9"/>
  <c r="G11" i="12" s="1"/>
  <c r="V54" i="9"/>
  <c r="W54" i="9"/>
  <c r="X54" i="9"/>
  <c r="P55" i="9"/>
  <c r="Q55" i="9"/>
  <c r="R55" i="9"/>
  <c r="S55" i="9"/>
  <c r="T55" i="9"/>
  <c r="V55" i="9"/>
  <c r="W55" i="9"/>
  <c r="X55" i="9"/>
  <c r="P56" i="9"/>
  <c r="Q56" i="9"/>
  <c r="R56" i="9"/>
  <c r="S56" i="9"/>
  <c r="T56" i="9"/>
  <c r="V56" i="9"/>
  <c r="W56" i="9"/>
  <c r="X56" i="9"/>
  <c r="P57" i="9"/>
  <c r="Q57" i="9"/>
  <c r="R57" i="9"/>
  <c r="S57" i="9"/>
  <c r="T57" i="9"/>
  <c r="V57" i="9"/>
  <c r="W57" i="9"/>
  <c r="X57" i="9"/>
  <c r="P58" i="9"/>
  <c r="Q58" i="9"/>
  <c r="R58" i="9"/>
  <c r="S58" i="9"/>
  <c r="T58" i="9"/>
  <c r="V58" i="9"/>
  <c r="W58" i="9"/>
  <c r="X58" i="9"/>
  <c r="P60" i="9"/>
  <c r="Q60" i="9"/>
  <c r="R60" i="9"/>
  <c r="S60" i="9"/>
  <c r="T60" i="9"/>
  <c r="V60" i="9"/>
  <c r="W60" i="9"/>
  <c r="X60" i="9"/>
  <c r="P61" i="9"/>
  <c r="Q61" i="9"/>
  <c r="R61" i="9"/>
  <c r="S61" i="9"/>
  <c r="T61" i="9"/>
  <c r="V61" i="9"/>
  <c r="W61" i="9"/>
  <c r="X61" i="9"/>
  <c r="P62" i="9"/>
  <c r="Q62" i="9"/>
  <c r="R62" i="9"/>
  <c r="S62" i="9"/>
  <c r="T62" i="9"/>
  <c r="V62" i="9"/>
  <c r="X62" i="9"/>
  <c r="P63" i="9"/>
  <c r="Q63" i="9"/>
  <c r="R63" i="9"/>
  <c r="S63" i="9"/>
  <c r="T63" i="9"/>
  <c r="V63" i="9"/>
  <c r="X63" i="9"/>
  <c r="P64" i="9"/>
  <c r="Q64" i="9"/>
  <c r="R64" i="9"/>
  <c r="S64" i="9"/>
  <c r="T64" i="9"/>
  <c r="V64" i="9"/>
  <c r="X64" i="9"/>
  <c r="P65" i="9"/>
  <c r="Q65" i="9"/>
  <c r="R65" i="9"/>
  <c r="S65" i="9"/>
  <c r="T65" i="9"/>
  <c r="V65" i="9"/>
  <c r="W65" i="9"/>
  <c r="X65" i="9"/>
  <c r="P66" i="9"/>
  <c r="Q66" i="9"/>
  <c r="R66" i="9"/>
  <c r="S66" i="9"/>
  <c r="T66" i="9"/>
  <c r="V66" i="9"/>
  <c r="W66" i="9"/>
  <c r="X66" i="9"/>
  <c r="P67" i="9"/>
  <c r="Q67" i="9"/>
  <c r="R67" i="9"/>
  <c r="S67" i="9"/>
  <c r="T67" i="9"/>
  <c r="V67" i="9"/>
  <c r="W67" i="9"/>
  <c r="X67" i="9"/>
  <c r="P68" i="9"/>
  <c r="Q68" i="9"/>
  <c r="R68" i="9"/>
  <c r="S68" i="9"/>
  <c r="T68" i="9"/>
  <c r="V68" i="9"/>
  <c r="W68" i="9"/>
  <c r="X68" i="9"/>
  <c r="P69" i="9"/>
  <c r="Q69" i="9"/>
  <c r="R69" i="9"/>
  <c r="S69" i="9"/>
  <c r="T69" i="9"/>
  <c r="V69" i="9"/>
  <c r="W69" i="9"/>
  <c r="X69" i="9"/>
  <c r="P70" i="9"/>
  <c r="Q70" i="9"/>
  <c r="R70" i="9"/>
  <c r="S70" i="9"/>
  <c r="T70" i="9"/>
  <c r="V70" i="9"/>
  <c r="W70" i="9"/>
  <c r="X70" i="9"/>
  <c r="P71" i="9"/>
  <c r="Q71" i="9"/>
  <c r="R71" i="9"/>
  <c r="S71" i="9"/>
  <c r="T71" i="9"/>
  <c r="V71" i="9"/>
  <c r="W71" i="9"/>
  <c r="X71" i="9"/>
  <c r="X73" i="9"/>
  <c r="P74" i="9"/>
  <c r="Q74" i="9"/>
  <c r="R74" i="9"/>
  <c r="S74" i="9"/>
  <c r="T74" i="9"/>
  <c r="U74" i="9"/>
  <c r="V74" i="9"/>
  <c r="W74" i="9"/>
  <c r="X74" i="9"/>
  <c r="O10" i="9"/>
  <c r="O11" i="9"/>
  <c r="O12" i="9"/>
  <c r="O13" i="9"/>
  <c r="O14" i="9"/>
  <c r="O15" i="9"/>
  <c r="O16" i="9"/>
  <c r="O17" i="9"/>
  <c r="O18" i="9"/>
  <c r="O19" i="9"/>
  <c r="O20" i="9"/>
  <c r="O21" i="9"/>
  <c r="O22" i="9"/>
  <c r="O23" i="9"/>
  <c r="O24" i="9"/>
  <c r="O25" i="9"/>
  <c r="O26" i="9"/>
  <c r="O27" i="9"/>
  <c r="O28" i="9"/>
  <c r="O29" i="9"/>
  <c r="O30" i="9"/>
  <c r="O31" i="9"/>
  <c r="O32" i="9"/>
  <c r="O33" i="9"/>
  <c r="O34" i="9"/>
  <c r="O35" i="9"/>
  <c r="O36" i="9"/>
  <c r="O37" i="9"/>
  <c r="O38" i="9"/>
  <c r="O39" i="9"/>
  <c r="O40" i="9"/>
  <c r="O41" i="9"/>
  <c r="O42" i="9"/>
  <c r="O43" i="9"/>
  <c r="O44" i="9"/>
  <c r="O45" i="9"/>
  <c r="O46" i="9"/>
  <c r="O47" i="9"/>
  <c r="O48" i="9"/>
  <c r="O49" i="9"/>
  <c r="O50" i="9"/>
  <c r="O51" i="9"/>
  <c r="O52" i="9"/>
  <c r="O53" i="9"/>
  <c r="O55" i="9"/>
  <c r="O56" i="9"/>
  <c r="O57" i="9"/>
  <c r="O58" i="9"/>
  <c r="O59" i="9"/>
  <c r="O60" i="9"/>
  <c r="O61" i="9"/>
  <c r="O62" i="9"/>
  <c r="O63" i="9"/>
  <c r="O64" i="9"/>
  <c r="O65" i="9"/>
  <c r="O66" i="9"/>
  <c r="O67" i="9"/>
  <c r="O68" i="9"/>
  <c r="O69" i="9"/>
  <c r="O70" i="9"/>
  <c r="O71" i="9"/>
  <c r="O72" i="9"/>
  <c r="O73" i="9"/>
  <c r="O74" i="9"/>
  <c r="O75" i="9"/>
  <c r="O9" i="9"/>
  <c r="D9" i="9"/>
  <c r="E9" i="9"/>
  <c r="F9" i="9"/>
  <c r="J9" i="9"/>
  <c r="K9" i="9"/>
  <c r="L9" i="9"/>
  <c r="M9" i="9"/>
  <c r="D10" i="9"/>
  <c r="E10" i="9"/>
  <c r="F10" i="9"/>
  <c r="J10" i="9"/>
  <c r="K10" i="9"/>
  <c r="L10" i="9"/>
  <c r="M10" i="9"/>
  <c r="D11" i="9"/>
  <c r="E11" i="9"/>
  <c r="F11" i="9"/>
  <c r="J11" i="9"/>
  <c r="K11" i="9"/>
  <c r="L11" i="9"/>
  <c r="M11" i="9"/>
  <c r="D12" i="9"/>
  <c r="E12" i="9"/>
  <c r="F12" i="9"/>
  <c r="J12" i="9"/>
  <c r="K12" i="9"/>
  <c r="L12" i="9"/>
  <c r="M12" i="9"/>
  <c r="M13" i="9"/>
  <c r="D14" i="9"/>
  <c r="E14" i="9"/>
  <c r="F14" i="9"/>
  <c r="J14" i="9"/>
  <c r="K14" i="9"/>
  <c r="L14" i="9"/>
  <c r="M14" i="9"/>
  <c r="D15" i="9"/>
  <c r="E15" i="9"/>
  <c r="F15" i="9"/>
  <c r="J15" i="9"/>
  <c r="K15" i="9"/>
  <c r="L15" i="9"/>
  <c r="M15" i="9"/>
  <c r="D16" i="9"/>
  <c r="E16" i="9"/>
  <c r="F16" i="9"/>
  <c r="J16" i="9"/>
  <c r="K16" i="9"/>
  <c r="L16" i="9"/>
  <c r="M16" i="9"/>
  <c r="D17" i="9"/>
  <c r="E17" i="9"/>
  <c r="F17" i="9"/>
  <c r="J17" i="9"/>
  <c r="K17" i="9"/>
  <c r="L17" i="9"/>
  <c r="M17" i="9"/>
  <c r="D18" i="9"/>
  <c r="E18" i="9"/>
  <c r="F18" i="9"/>
  <c r="J18" i="9"/>
  <c r="K18" i="9"/>
  <c r="L18" i="9"/>
  <c r="M18" i="9"/>
  <c r="D19" i="9"/>
  <c r="E19" i="9"/>
  <c r="F19" i="9"/>
  <c r="J19" i="9"/>
  <c r="K19" i="9"/>
  <c r="L19" i="9"/>
  <c r="M19" i="9"/>
  <c r="D20" i="9"/>
  <c r="E20" i="9"/>
  <c r="F20" i="9"/>
  <c r="G20" i="9"/>
  <c r="J20" i="9"/>
  <c r="K20" i="9"/>
  <c r="L20" i="9"/>
  <c r="M20" i="9"/>
  <c r="D21" i="9"/>
  <c r="E21" i="9"/>
  <c r="F21" i="9"/>
  <c r="J21" i="9"/>
  <c r="K21" i="9"/>
  <c r="L21" i="9"/>
  <c r="M21" i="9"/>
  <c r="D22" i="9"/>
  <c r="E22" i="9"/>
  <c r="F22" i="9"/>
  <c r="J22" i="9"/>
  <c r="K22" i="9"/>
  <c r="L22" i="9"/>
  <c r="M22" i="9"/>
  <c r="M23" i="9"/>
  <c r="D24" i="9"/>
  <c r="E24" i="9"/>
  <c r="F24" i="9"/>
  <c r="J24" i="9"/>
  <c r="K24" i="9"/>
  <c r="L24" i="9"/>
  <c r="M24" i="9"/>
  <c r="D25" i="9"/>
  <c r="E25" i="9"/>
  <c r="F25" i="9"/>
  <c r="J25" i="9"/>
  <c r="K25" i="9"/>
  <c r="L25" i="9"/>
  <c r="M25" i="9"/>
  <c r="D26" i="9"/>
  <c r="E26" i="9"/>
  <c r="F26" i="9"/>
  <c r="G26" i="9"/>
  <c r="J26" i="9"/>
  <c r="K26" i="9"/>
  <c r="L26" i="9"/>
  <c r="M26" i="9"/>
  <c r="M27" i="9"/>
  <c r="M28" i="9"/>
  <c r="I29" i="9"/>
  <c r="J29" i="9"/>
  <c r="K29" i="9"/>
  <c r="L29" i="9"/>
  <c r="M29" i="9"/>
  <c r="D30" i="9"/>
  <c r="E30" i="9"/>
  <c r="F30" i="9"/>
  <c r="J30" i="9"/>
  <c r="K30" i="9"/>
  <c r="L30" i="9"/>
  <c r="M30" i="9"/>
  <c r="D31" i="9"/>
  <c r="E31" i="9"/>
  <c r="F31" i="9"/>
  <c r="J31" i="9"/>
  <c r="K31" i="9"/>
  <c r="L31" i="9"/>
  <c r="M31" i="9"/>
  <c r="D32" i="9"/>
  <c r="E32" i="9"/>
  <c r="F32" i="9"/>
  <c r="J32" i="9"/>
  <c r="K32" i="9"/>
  <c r="L32" i="9"/>
  <c r="M32" i="9"/>
  <c r="D33" i="9"/>
  <c r="E33" i="9"/>
  <c r="F33" i="9"/>
  <c r="G33" i="9"/>
  <c r="J33" i="9"/>
  <c r="K33" i="9"/>
  <c r="L33" i="9"/>
  <c r="M33" i="9"/>
  <c r="D34" i="9"/>
  <c r="E34" i="9"/>
  <c r="F34" i="9"/>
  <c r="J34" i="9"/>
  <c r="K34" i="9"/>
  <c r="L34" i="9"/>
  <c r="M34" i="9"/>
  <c r="D35" i="9"/>
  <c r="E35" i="9"/>
  <c r="F35" i="9"/>
  <c r="J35" i="9"/>
  <c r="K35" i="9"/>
  <c r="L35" i="9"/>
  <c r="M35" i="9"/>
  <c r="D36" i="9"/>
  <c r="E36" i="9"/>
  <c r="F36" i="9"/>
  <c r="J36" i="9"/>
  <c r="K36" i="9"/>
  <c r="L36" i="9"/>
  <c r="M36" i="9"/>
  <c r="D37" i="9"/>
  <c r="E37" i="9"/>
  <c r="F37" i="9"/>
  <c r="G37" i="9"/>
  <c r="J37" i="9"/>
  <c r="K37" i="9"/>
  <c r="L37" i="9"/>
  <c r="M37" i="9"/>
  <c r="D38" i="9"/>
  <c r="E38" i="9"/>
  <c r="F38" i="9"/>
  <c r="J38" i="9"/>
  <c r="K38" i="9"/>
  <c r="L38" i="9"/>
  <c r="M38" i="9"/>
  <c r="D39" i="9"/>
  <c r="E39" i="9"/>
  <c r="F39" i="9"/>
  <c r="J39" i="9"/>
  <c r="K39" i="9"/>
  <c r="L39" i="9"/>
  <c r="M39" i="9"/>
  <c r="D40" i="9"/>
  <c r="E40" i="9"/>
  <c r="F40" i="9"/>
  <c r="J40" i="9"/>
  <c r="K40" i="9"/>
  <c r="L40" i="9"/>
  <c r="M40" i="9"/>
  <c r="M41" i="9"/>
  <c r="D42" i="9"/>
  <c r="E42" i="9"/>
  <c r="F42" i="9"/>
  <c r="J42" i="9"/>
  <c r="K42" i="9"/>
  <c r="L42" i="9"/>
  <c r="M42" i="9"/>
  <c r="D43" i="9"/>
  <c r="E43" i="9"/>
  <c r="F43" i="9"/>
  <c r="J43" i="9"/>
  <c r="K43" i="9"/>
  <c r="L43" i="9"/>
  <c r="M43" i="9"/>
  <c r="D44" i="9"/>
  <c r="E44" i="9"/>
  <c r="F44" i="9"/>
  <c r="J44" i="9"/>
  <c r="K44" i="9"/>
  <c r="L44" i="9"/>
  <c r="M44" i="9"/>
  <c r="D45" i="9"/>
  <c r="E45" i="9"/>
  <c r="F45" i="9"/>
  <c r="G45" i="9"/>
  <c r="J45" i="9"/>
  <c r="K45" i="9"/>
  <c r="L45" i="9"/>
  <c r="M45" i="9"/>
  <c r="D46" i="9"/>
  <c r="E46" i="9"/>
  <c r="F46" i="9"/>
  <c r="J46" i="9"/>
  <c r="K46" i="9"/>
  <c r="L46" i="9"/>
  <c r="M46" i="9"/>
  <c r="D47" i="9"/>
  <c r="E47" i="9"/>
  <c r="F47" i="9"/>
  <c r="J47" i="9"/>
  <c r="K47" i="9"/>
  <c r="L47" i="9"/>
  <c r="M47" i="9"/>
  <c r="D48" i="9"/>
  <c r="E48" i="9"/>
  <c r="F48" i="9"/>
  <c r="J48" i="9"/>
  <c r="K48" i="9"/>
  <c r="L48" i="9"/>
  <c r="M48" i="9"/>
  <c r="D49" i="9"/>
  <c r="E49" i="9"/>
  <c r="F49" i="9"/>
  <c r="J49" i="9"/>
  <c r="K49" i="9"/>
  <c r="L49" i="9"/>
  <c r="M49" i="9"/>
  <c r="D50" i="9"/>
  <c r="E50" i="9"/>
  <c r="F50" i="9"/>
  <c r="G50" i="9"/>
  <c r="J50" i="9"/>
  <c r="K50" i="9"/>
  <c r="L50" i="9"/>
  <c r="M50" i="9"/>
  <c r="D51" i="9"/>
  <c r="E51" i="9"/>
  <c r="F51" i="9"/>
  <c r="J51" i="9"/>
  <c r="K51" i="9"/>
  <c r="L51" i="9"/>
  <c r="M51" i="9"/>
  <c r="D52" i="9"/>
  <c r="E52" i="9"/>
  <c r="F52" i="9"/>
  <c r="J52" i="9"/>
  <c r="K52" i="9"/>
  <c r="L52" i="9"/>
  <c r="M52" i="9"/>
  <c r="D53" i="9"/>
  <c r="E53" i="9"/>
  <c r="F53" i="9"/>
  <c r="J53" i="9"/>
  <c r="K53" i="9"/>
  <c r="L53" i="9"/>
  <c r="M53" i="9"/>
  <c r="D54" i="9"/>
  <c r="E54" i="9"/>
  <c r="F54" i="9"/>
  <c r="J54" i="9"/>
  <c r="K54" i="9"/>
  <c r="L54" i="9"/>
  <c r="M54" i="9"/>
  <c r="D55" i="9"/>
  <c r="E55" i="9"/>
  <c r="F55" i="9"/>
  <c r="J55" i="9"/>
  <c r="K55" i="9"/>
  <c r="L55" i="9"/>
  <c r="M55" i="9"/>
  <c r="D56" i="9"/>
  <c r="E56" i="9"/>
  <c r="F56" i="9"/>
  <c r="J56" i="9"/>
  <c r="K56" i="9"/>
  <c r="L56" i="9"/>
  <c r="M56" i="9"/>
  <c r="D57" i="9"/>
  <c r="E57" i="9"/>
  <c r="F57" i="9"/>
  <c r="J57" i="9"/>
  <c r="K57" i="9"/>
  <c r="L57" i="9"/>
  <c r="M57" i="9"/>
  <c r="D58" i="9"/>
  <c r="E58" i="9"/>
  <c r="F58" i="9"/>
  <c r="J58" i="9"/>
  <c r="K58" i="9"/>
  <c r="L58" i="9"/>
  <c r="M58" i="9"/>
  <c r="M59" i="9"/>
  <c r="D60" i="9"/>
  <c r="E60" i="9"/>
  <c r="F60" i="9"/>
  <c r="J60" i="9"/>
  <c r="K60" i="9"/>
  <c r="M60" i="9"/>
  <c r="D61" i="9"/>
  <c r="E61" i="9"/>
  <c r="F61" i="9"/>
  <c r="J61" i="9"/>
  <c r="K61" i="9"/>
  <c r="M61" i="9"/>
  <c r="D62" i="9"/>
  <c r="K62" i="9"/>
  <c r="M62" i="9"/>
  <c r="K63" i="9"/>
  <c r="M63" i="9"/>
  <c r="K64" i="9"/>
  <c r="M64" i="9"/>
  <c r="D65" i="9"/>
  <c r="E65" i="9"/>
  <c r="F65" i="9"/>
  <c r="J65" i="9"/>
  <c r="K65" i="9"/>
  <c r="M65" i="9"/>
  <c r="D66" i="9"/>
  <c r="K66" i="9"/>
  <c r="M66" i="9"/>
  <c r="D67" i="9"/>
  <c r="E67" i="9"/>
  <c r="F67" i="9"/>
  <c r="J67" i="9"/>
  <c r="K67" i="9"/>
  <c r="M67" i="9"/>
  <c r="D68" i="9"/>
  <c r="E68" i="9"/>
  <c r="F68" i="9"/>
  <c r="J68" i="9"/>
  <c r="K68" i="9"/>
  <c r="M68" i="9"/>
  <c r="D69" i="9"/>
  <c r="E69" i="9"/>
  <c r="F69" i="9"/>
  <c r="J69" i="9"/>
  <c r="K69" i="9"/>
  <c r="M69" i="9"/>
  <c r="D70" i="9"/>
  <c r="E70" i="9"/>
  <c r="F70" i="9"/>
  <c r="J70" i="9"/>
  <c r="K70" i="9"/>
  <c r="M70" i="9"/>
  <c r="D71" i="9"/>
  <c r="E71" i="9"/>
  <c r="F71" i="9"/>
  <c r="J71" i="9"/>
  <c r="K71" i="9"/>
  <c r="M71" i="9"/>
  <c r="M72" i="9"/>
  <c r="M73" i="9"/>
  <c r="I74" i="9"/>
  <c r="J74" i="9"/>
  <c r="K74" i="9"/>
  <c r="L74" i="9"/>
  <c r="M74" i="9"/>
  <c r="M75" i="9"/>
  <c r="I76" i="9"/>
  <c r="J76" i="9"/>
  <c r="K76" i="9"/>
  <c r="L76" i="9"/>
  <c r="M76" i="9"/>
  <c r="C10" i="9"/>
  <c r="C11" i="9"/>
  <c r="C12" i="9"/>
  <c r="C14" i="9"/>
  <c r="C15" i="9"/>
  <c r="C16" i="9"/>
  <c r="C17" i="9"/>
  <c r="C18" i="9"/>
  <c r="C19" i="9"/>
  <c r="C20" i="9"/>
  <c r="C21" i="9"/>
  <c r="C22" i="9"/>
  <c r="C24" i="9"/>
  <c r="C25" i="9"/>
  <c r="C26" i="9"/>
  <c r="C30" i="9"/>
  <c r="C31" i="9"/>
  <c r="C32" i="9"/>
  <c r="C33" i="9"/>
  <c r="C34" i="9"/>
  <c r="C35" i="9"/>
  <c r="C36" i="9"/>
  <c r="C37" i="9"/>
  <c r="C38" i="9"/>
  <c r="C39" i="9"/>
  <c r="C40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60" i="9"/>
  <c r="C61" i="9"/>
  <c r="C62" i="9"/>
  <c r="C63" i="9"/>
  <c r="C64" i="9"/>
  <c r="C65" i="9"/>
  <c r="C66" i="9"/>
  <c r="C67" i="9"/>
  <c r="C68" i="9"/>
  <c r="C69" i="9"/>
  <c r="C70" i="9"/>
  <c r="C71" i="9"/>
  <c r="C9" i="9"/>
  <c r="Y77" i="9"/>
  <c r="B78" i="9"/>
  <c r="C78" i="9"/>
  <c r="D78" i="9"/>
  <c r="E78" i="9"/>
  <c r="F78" i="9"/>
  <c r="G78" i="9"/>
  <c r="H78" i="9"/>
  <c r="I78" i="9"/>
  <c r="J78" i="9"/>
  <c r="K78" i="9"/>
  <c r="L78" i="9"/>
  <c r="M78" i="9"/>
  <c r="N78" i="9"/>
  <c r="O78" i="9"/>
  <c r="P78" i="9"/>
  <c r="Q78" i="9"/>
  <c r="R78" i="9"/>
  <c r="S78" i="9"/>
  <c r="T78" i="9"/>
  <c r="U78" i="9"/>
  <c r="V78" i="9"/>
  <c r="W78" i="9"/>
  <c r="X78" i="9"/>
  <c r="Y78" i="9"/>
  <c r="A78" i="9"/>
  <c r="H9" i="9"/>
  <c r="H10" i="4"/>
  <c r="H10" i="9" s="1"/>
  <c r="H11" i="4"/>
  <c r="H11" i="9" s="1"/>
  <c r="H12" i="4"/>
  <c r="H12" i="9" s="1"/>
  <c r="H14" i="4"/>
  <c r="H14" i="9" s="1"/>
  <c r="H15" i="4"/>
  <c r="H15" i="9" s="1"/>
  <c r="H16" i="4"/>
  <c r="H16" i="9" s="1"/>
  <c r="H17" i="4"/>
  <c r="H17" i="9" s="1"/>
  <c r="H18" i="4"/>
  <c r="H18" i="9" s="1"/>
  <c r="H19" i="4"/>
  <c r="H19" i="9" s="1"/>
  <c r="H20" i="4"/>
  <c r="H20" i="9" s="1"/>
  <c r="H21" i="4"/>
  <c r="H21" i="9" s="1"/>
  <c r="H22" i="4"/>
  <c r="H22" i="9" s="1"/>
  <c r="H24" i="4"/>
  <c r="H24" i="9" s="1"/>
  <c r="H25" i="4"/>
  <c r="H25" i="9" s="1"/>
  <c r="H26" i="4"/>
  <c r="H26" i="9" s="1"/>
  <c r="H30" i="4"/>
  <c r="H30" i="9" s="1"/>
  <c r="H31" i="4"/>
  <c r="H31" i="9" s="1"/>
  <c r="H32" i="4"/>
  <c r="H32" i="9" s="1"/>
  <c r="H33" i="4"/>
  <c r="H33" i="9" s="1"/>
  <c r="H34" i="4"/>
  <c r="H34" i="9" s="1"/>
  <c r="H35" i="4"/>
  <c r="H35" i="9" s="1"/>
  <c r="H36" i="4"/>
  <c r="H36" i="9" s="1"/>
  <c r="H37" i="4"/>
  <c r="H37" i="9" s="1"/>
  <c r="H38" i="4"/>
  <c r="H38" i="9" s="1"/>
  <c r="H39" i="4"/>
  <c r="H39" i="9" s="1"/>
  <c r="H40" i="4"/>
  <c r="H40" i="9" s="1"/>
  <c r="H42" i="4"/>
  <c r="H42" i="9" s="1"/>
  <c r="G13" i="10" l="1"/>
  <c r="L28" i="10"/>
  <c r="I35" i="10"/>
  <c r="G5" i="12"/>
  <c r="E5" i="12"/>
  <c r="F5" i="12"/>
  <c r="D5" i="12"/>
  <c r="Y65" i="10"/>
  <c r="I24" i="10"/>
  <c r="I67" i="10"/>
  <c r="Y39" i="10"/>
  <c r="S73" i="10"/>
  <c r="H62" i="10"/>
  <c r="D7" i="12"/>
  <c r="C7" i="12"/>
  <c r="G7" i="12"/>
  <c r="F7" i="12"/>
  <c r="E7" i="12"/>
  <c r="I34" i="10"/>
  <c r="J72" i="10"/>
  <c r="J73" i="10" s="1"/>
  <c r="I70" i="10"/>
  <c r="I42" i="10"/>
  <c r="Y52" i="10"/>
  <c r="Y12" i="10"/>
  <c r="K28" i="10"/>
  <c r="I19" i="10"/>
  <c r="Y32" i="10"/>
  <c r="Y11" i="10"/>
  <c r="G41" i="10"/>
  <c r="Y48" i="10"/>
  <c r="Y62" i="10"/>
  <c r="Y31" i="10"/>
  <c r="R73" i="10"/>
  <c r="Y51" i="10"/>
  <c r="I60" i="10"/>
  <c r="U13" i="10"/>
  <c r="V73" i="10"/>
  <c r="V75" i="10" s="1"/>
  <c r="Y10" i="10"/>
  <c r="I52" i="10"/>
  <c r="Y55" i="10"/>
  <c r="I16" i="10"/>
  <c r="I17" i="10"/>
  <c r="Y30" i="10"/>
  <c r="Y42" i="10"/>
  <c r="U41" i="10"/>
  <c r="Y70" i="10"/>
  <c r="L62" i="10"/>
  <c r="H64" i="10"/>
  <c r="I71" i="10"/>
  <c r="D28" i="10"/>
  <c r="D29" i="10" s="1"/>
  <c r="I15" i="10"/>
  <c r="Y46" i="10"/>
  <c r="Y56" i="10"/>
  <c r="Y60" i="10"/>
  <c r="D72" i="10"/>
  <c r="D73" i="10" s="1"/>
  <c r="D74" i="10" s="1"/>
  <c r="H66" i="10"/>
  <c r="Y68" i="10"/>
  <c r="E28" i="10"/>
  <c r="E29" i="10" s="1"/>
  <c r="I51" i="10"/>
  <c r="E72" i="10"/>
  <c r="E73" i="10" s="1"/>
  <c r="Y40" i="10"/>
  <c r="K73" i="10"/>
  <c r="Y44" i="10"/>
  <c r="F72" i="10"/>
  <c r="I68" i="10"/>
  <c r="J28" i="10"/>
  <c r="Y47" i="10"/>
  <c r="Y57" i="10"/>
  <c r="I65" i="10"/>
  <c r="G27" i="10"/>
  <c r="Y27" i="10" s="1"/>
  <c r="I61" i="10"/>
  <c r="Y61" i="10"/>
  <c r="I69" i="10"/>
  <c r="U72" i="10"/>
  <c r="W72" i="10"/>
  <c r="W73" i="10" s="1"/>
  <c r="I49" i="10"/>
  <c r="I58" i="10"/>
  <c r="H59" i="10"/>
  <c r="I54" i="10"/>
  <c r="Y43" i="10"/>
  <c r="I46" i="10"/>
  <c r="I47" i="10"/>
  <c r="Y53" i="10"/>
  <c r="I55" i="10"/>
  <c r="I56" i="10"/>
  <c r="G59" i="10"/>
  <c r="U59" i="10"/>
  <c r="T73" i="10"/>
  <c r="Y38" i="10"/>
  <c r="I30" i="10"/>
  <c r="Y34" i="10"/>
  <c r="Y35" i="10"/>
  <c r="Y36" i="10"/>
  <c r="I39" i="10"/>
  <c r="I40" i="10"/>
  <c r="G23" i="10"/>
  <c r="F28" i="10"/>
  <c r="H23" i="10"/>
  <c r="I21" i="10"/>
  <c r="I22" i="10"/>
  <c r="I10" i="10"/>
  <c r="I11" i="10"/>
  <c r="H13" i="10"/>
  <c r="Y9" i="10"/>
  <c r="C28" i="10"/>
  <c r="Y49" i="10"/>
  <c r="P73" i="10"/>
  <c r="I12" i="10"/>
  <c r="I14" i="10"/>
  <c r="I18" i="10"/>
  <c r="I25" i="10"/>
  <c r="H27" i="10"/>
  <c r="I31" i="10"/>
  <c r="I36" i="10"/>
  <c r="I43" i="10"/>
  <c r="I48" i="10"/>
  <c r="I53" i="10"/>
  <c r="I57" i="10"/>
  <c r="I62" i="10"/>
  <c r="G64" i="10"/>
  <c r="L64" i="10"/>
  <c r="G66" i="10"/>
  <c r="L66" i="10"/>
  <c r="Y67" i="10"/>
  <c r="Y69" i="10"/>
  <c r="Y71" i="10"/>
  <c r="Q73" i="10"/>
  <c r="Q75" i="10" s="1"/>
  <c r="Y54" i="10"/>
  <c r="Y58" i="10"/>
  <c r="I32" i="10"/>
  <c r="I38" i="10"/>
  <c r="I44" i="10"/>
  <c r="G63" i="10"/>
  <c r="L63" i="10"/>
  <c r="C73" i="10"/>
  <c r="C74" i="10" s="1"/>
  <c r="H41" i="10"/>
  <c r="H63" i="10"/>
  <c r="D21" i="8"/>
  <c r="H43" i="4"/>
  <c r="H43" i="9" s="1"/>
  <c r="H44" i="4"/>
  <c r="H44" i="9" s="1"/>
  <c r="H45" i="4"/>
  <c r="H45" i="9" s="1"/>
  <c r="H46" i="4"/>
  <c r="H46" i="9" s="1"/>
  <c r="H47" i="4"/>
  <c r="H47" i="9" s="1"/>
  <c r="H48" i="4"/>
  <c r="H48" i="9" s="1"/>
  <c r="H49" i="4"/>
  <c r="H49" i="9" s="1"/>
  <c r="H50" i="4"/>
  <c r="H50" i="9" s="1"/>
  <c r="H51" i="4"/>
  <c r="H51" i="9" s="1"/>
  <c r="H52" i="4"/>
  <c r="H52" i="9" s="1"/>
  <c r="H53" i="4"/>
  <c r="H53" i="9" s="1"/>
  <c r="H54" i="4"/>
  <c r="H54" i="9" s="1"/>
  <c r="H55" i="4"/>
  <c r="H55" i="9" s="1"/>
  <c r="H56" i="4"/>
  <c r="H56" i="9" s="1"/>
  <c r="H57" i="4"/>
  <c r="H57" i="9" s="1"/>
  <c r="H58" i="4"/>
  <c r="H58" i="9" s="1"/>
  <c r="H60" i="4"/>
  <c r="H60" i="9" s="1"/>
  <c r="H61" i="4"/>
  <c r="H61" i="9" s="1"/>
  <c r="H65" i="4"/>
  <c r="H65" i="9" s="1"/>
  <c r="H67" i="4"/>
  <c r="H67" i="9" s="1"/>
  <c r="H68" i="4"/>
  <c r="H68" i="9" s="1"/>
  <c r="H69" i="4"/>
  <c r="H69" i="9" s="1"/>
  <c r="H70" i="4"/>
  <c r="H70" i="9" s="1"/>
  <c r="H71" i="4"/>
  <c r="H71" i="9" s="1"/>
  <c r="G28" i="10" l="1"/>
  <c r="Y23" i="10"/>
  <c r="K75" i="10"/>
  <c r="I41" i="10"/>
  <c r="Y59" i="10"/>
  <c r="S75" i="10"/>
  <c r="Y41" i="10"/>
  <c r="G8" i="12"/>
  <c r="G13" i="12" s="1"/>
  <c r="D8" i="12"/>
  <c r="D13" i="12" s="1"/>
  <c r="C8" i="12"/>
  <c r="C13" i="12" s="1"/>
  <c r="F8" i="12"/>
  <c r="F13" i="12" s="1"/>
  <c r="E8" i="12"/>
  <c r="E13" i="12" s="1"/>
  <c r="W75" i="10"/>
  <c r="J75" i="10"/>
  <c r="R75" i="10"/>
  <c r="P75" i="10"/>
  <c r="I27" i="10"/>
  <c r="U73" i="10"/>
  <c r="U75" i="10" s="1"/>
  <c r="G72" i="10"/>
  <c r="G73" i="10" s="1"/>
  <c r="G74" i="10" s="1"/>
  <c r="I59" i="10"/>
  <c r="D75" i="10"/>
  <c r="D76" i="10"/>
  <c r="E74" i="10"/>
  <c r="E76" i="10" s="1"/>
  <c r="E75" i="10"/>
  <c r="H72" i="10"/>
  <c r="H73" i="10" s="1"/>
  <c r="H74" i="10" s="1"/>
  <c r="F73" i="10"/>
  <c r="F74" i="10" s="1"/>
  <c r="L72" i="10"/>
  <c r="L73" i="10" s="1"/>
  <c r="L75" i="10" s="1"/>
  <c r="F29" i="10"/>
  <c r="T75" i="10"/>
  <c r="I23" i="10"/>
  <c r="Y66" i="10"/>
  <c r="I66" i="10"/>
  <c r="I13" i="10"/>
  <c r="Y63" i="10"/>
  <c r="I63" i="10"/>
  <c r="C75" i="10"/>
  <c r="C29" i="10"/>
  <c r="H28" i="10"/>
  <c r="I64" i="10"/>
  <c r="Y64" i="10"/>
  <c r="J17" i="8"/>
  <c r="L17" i="8" s="1"/>
  <c r="K17" i="8" s="1"/>
  <c r="J18" i="8"/>
  <c r="L18" i="8" s="1"/>
  <c r="K18" i="8" s="1"/>
  <c r="J19" i="8"/>
  <c r="L19" i="8" s="1"/>
  <c r="K19" i="8" s="1"/>
  <c r="J22" i="8"/>
  <c r="L22" i="8" s="1"/>
  <c r="K22" i="8" s="1"/>
  <c r="J23" i="8"/>
  <c r="L23" i="8" s="1"/>
  <c r="K23" i="8" s="1"/>
  <c r="I12" i="8"/>
  <c r="J12" i="8" s="1"/>
  <c r="L12" i="8" s="1"/>
  <c r="K12" i="8" s="1"/>
  <c r="I13" i="8"/>
  <c r="J13" i="8" s="1"/>
  <c r="L13" i="8" s="1"/>
  <c r="K13" i="8" s="1"/>
  <c r="E22" i="8"/>
  <c r="E23" i="8"/>
  <c r="F23" i="8" s="1"/>
  <c r="D24" i="8"/>
  <c r="D25" i="8" s="1"/>
  <c r="E17" i="8"/>
  <c r="E18" i="8"/>
  <c r="F18" i="8" s="1"/>
  <c r="E19" i="8"/>
  <c r="F19" i="8" s="1"/>
  <c r="E11" i="8"/>
  <c r="F11" i="8" s="1"/>
  <c r="E12" i="8"/>
  <c r="F12" i="8" s="1"/>
  <c r="E13" i="8"/>
  <c r="F13" i="8" s="1"/>
  <c r="D14" i="8"/>
  <c r="D15" i="8" s="1"/>
  <c r="F76" i="10" l="1"/>
  <c r="Y72" i="10"/>
  <c r="I72" i="10"/>
  <c r="H75" i="10"/>
  <c r="F75" i="10"/>
  <c r="G75" i="10"/>
  <c r="G29" i="10"/>
  <c r="I28" i="10"/>
  <c r="I73" i="10"/>
  <c r="C76" i="10"/>
  <c r="H29" i="10"/>
  <c r="H76" i="10" s="1"/>
  <c r="F22" i="8"/>
  <c r="F24" i="8" s="1"/>
  <c r="E24" i="8"/>
  <c r="F17" i="8"/>
  <c r="F21" i="8" s="1"/>
  <c r="E21" i="8"/>
  <c r="E14" i="8"/>
  <c r="F14" i="8" s="1"/>
  <c r="D26" i="8"/>
  <c r="G76" i="10" l="1"/>
  <c r="Y29" i="10"/>
  <c r="I75" i="10"/>
  <c r="I6" i="6"/>
  <c r="I7" i="6"/>
  <c r="I5" i="6"/>
  <c r="I5" i="5" s="1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 l="1"/>
  <c r="I37" i="4"/>
  <c r="I45" i="4"/>
  <c r="I50" i="4"/>
  <c r="I33" i="4"/>
  <c r="I26" i="4"/>
  <c r="I20" i="4"/>
  <c r="I45" i="6" l="1"/>
  <c r="I45" i="9"/>
  <c r="I50" i="6"/>
  <c r="I50" i="9"/>
  <c r="I33" i="6"/>
  <c r="I33" i="9"/>
  <c r="I37" i="6"/>
  <c r="I37" i="9"/>
  <c r="I26" i="5"/>
  <c r="I26" i="9"/>
  <c r="I20" i="5"/>
  <c r="I20" i="9"/>
  <c r="A2" i="8"/>
  <c r="A1" i="8"/>
  <c r="B2" i="7"/>
  <c r="B1" i="7"/>
  <c r="E10" i="8"/>
  <c r="F10" i="8" s="1"/>
  <c r="E16" i="8"/>
  <c r="E25" i="8" s="1"/>
  <c r="F16" i="8" l="1"/>
  <c r="F25" i="8" s="1"/>
  <c r="E15" i="8"/>
  <c r="E26" i="8" s="1"/>
  <c r="A2" i="5"/>
  <c r="A2" i="6"/>
  <c r="P30" i="6"/>
  <c r="Q30" i="6"/>
  <c r="R30" i="6"/>
  <c r="S30" i="6"/>
  <c r="T30" i="6"/>
  <c r="V30" i="6"/>
  <c r="W30" i="6"/>
  <c r="X30" i="6"/>
  <c r="P31" i="6"/>
  <c r="Q31" i="6"/>
  <c r="R31" i="6"/>
  <c r="S31" i="6"/>
  <c r="T31" i="6"/>
  <c r="V31" i="6"/>
  <c r="W31" i="6"/>
  <c r="X31" i="6"/>
  <c r="P32" i="6"/>
  <c r="Q32" i="6"/>
  <c r="R32" i="6"/>
  <c r="S32" i="6"/>
  <c r="T32" i="6"/>
  <c r="X32" i="6"/>
  <c r="P33" i="6"/>
  <c r="Q33" i="6"/>
  <c r="R33" i="6"/>
  <c r="S33" i="6"/>
  <c r="T33" i="6"/>
  <c r="X33" i="6"/>
  <c r="P34" i="6"/>
  <c r="Q34" i="6"/>
  <c r="R34" i="6"/>
  <c r="S34" i="6"/>
  <c r="T34" i="6"/>
  <c r="V34" i="6"/>
  <c r="W34" i="6"/>
  <c r="X34" i="6"/>
  <c r="P35" i="6"/>
  <c r="Q35" i="6"/>
  <c r="R35" i="6"/>
  <c r="S35" i="6"/>
  <c r="T35" i="6"/>
  <c r="V35" i="6"/>
  <c r="W35" i="6"/>
  <c r="X35" i="6"/>
  <c r="P36" i="6"/>
  <c r="Q36" i="6"/>
  <c r="R36" i="6"/>
  <c r="S36" i="6"/>
  <c r="T36" i="6"/>
  <c r="V36" i="6"/>
  <c r="W36" i="6"/>
  <c r="X36" i="6"/>
  <c r="P37" i="6"/>
  <c r="Q37" i="6"/>
  <c r="R37" i="6"/>
  <c r="S37" i="6"/>
  <c r="T37" i="6"/>
  <c r="X37" i="6"/>
  <c r="P38" i="6"/>
  <c r="Q38" i="6"/>
  <c r="R38" i="6"/>
  <c r="S38" i="6"/>
  <c r="T38" i="6"/>
  <c r="X38" i="6"/>
  <c r="P39" i="6"/>
  <c r="Q39" i="6"/>
  <c r="R39" i="6"/>
  <c r="S39" i="6"/>
  <c r="T39" i="6"/>
  <c r="X39" i="6"/>
  <c r="P40" i="6"/>
  <c r="Q40" i="6"/>
  <c r="R40" i="6"/>
  <c r="S40" i="6"/>
  <c r="T40" i="6"/>
  <c r="V40" i="6"/>
  <c r="W40" i="6"/>
  <c r="X40" i="6"/>
  <c r="X41" i="6"/>
  <c r="P42" i="6"/>
  <c r="Q42" i="6"/>
  <c r="R42" i="6"/>
  <c r="S42" i="6"/>
  <c r="T42" i="6"/>
  <c r="V42" i="6"/>
  <c r="W42" i="6"/>
  <c r="X42" i="6"/>
  <c r="P43" i="6"/>
  <c r="Q43" i="6"/>
  <c r="R43" i="6"/>
  <c r="S43" i="6"/>
  <c r="T43" i="6"/>
  <c r="V43" i="6"/>
  <c r="W43" i="6"/>
  <c r="X43" i="6"/>
  <c r="P44" i="6"/>
  <c r="Q44" i="6"/>
  <c r="R44" i="6"/>
  <c r="S44" i="6"/>
  <c r="T44" i="6"/>
  <c r="V44" i="6"/>
  <c r="W44" i="6"/>
  <c r="X44" i="6"/>
  <c r="P45" i="6"/>
  <c r="Q45" i="6"/>
  <c r="R45" i="6"/>
  <c r="S45" i="6"/>
  <c r="T45" i="6"/>
  <c r="V45" i="6"/>
  <c r="W45" i="6"/>
  <c r="X45" i="6"/>
  <c r="P46" i="6"/>
  <c r="Q46" i="6"/>
  <c r="R46" i="6"/>
  <c r="S46" i="6"/>
  <c r="T46" i="6"/>
  <c r="V46" i="6"/>
  <c r="W46" i="6"/>
  <c r="X46" i="6"/>
  <c r="P47" i="6"/>
  <c r="Q47" i="6"/>
  <c r="R47" i="6"/>
  <c r="S47" i="6"/>
  <c r="T47" i="6"/>
  <c r="V47" i="6"/>
  <c r="W47" i="6"/>
  <c r="X47" i="6"/>
  <c r="P48" i="6"/>
  <c r="Q48" i="6"/>
  <c r="R48" i="6"/>
  <c r="S48" i="6"/>
  <c r="T48" i="6"/>
  <c r="V48" i="6"/>
  <c r="W48" i="6"/>
  <c r="X48" i="6"/>
  <c r="P49" i="6"/>
  <c r="Q49" i="6"/>
  <c r="R49" i="6"/>
  <c r="S49" i="6"/>
  <c r="T49" i="6"/>
  <c r="V49" i="6"/>
  <c r="W49" i="6"/>
  <c r="X49" i="6"/>
  <c r="P50" i="6"/>
  <c r="Q50" i="6"/>
  <c r="R50" i="6"/>
  <c r="S50" i="6"/>
  <c r="T50" i="6"/>
  <c r="V50" i="6"/>
  <c r="W50" i="6"/>
  <c r="X50" i="6"/>
  <c r="P51" i="6"/>
  <c r="Q51" i="6"/>
  <c r="R51" i="6"/>
  <c r="S51" i="6"/>
  <c r="T51" i="6"/>
  <c r="V51" i="6"/>
  <c r="W51" i="6"/>
  <c r="X51" i="6"/>
  <c r="P52" i="6"/>
  <c r="Q52" i="6"/>
  <c r="R52" i="6"/>
  <c r="S52" i="6"/>
  <c r="T52" i="6"/>
  <c r="V52" i="6"/>
  <c r="W52" i="6"/>
  <c r="X52" i="6"/>
  <c r="P53" i="6"/>
  <c r="Q53" i="6"/>
  <c r="R53" i="6"/>
  <c r="S53" i="6"/>
  <c r="T53" i="6"/>
  <c r="V53" i="6"/>
  <c r="W53" i="6"/>
  <c r="X53" i="6"/>
  <c r="P54" i="6"/>
  <c r="Q54" i="6"/>
  <c r="R54" i="6"/>
  <c r="S54" i="6"/>
  <c r="T54" i="6"/>
  <c r="V54" i="6"/>
  <c r="W54" i="6"/>
  <c r="X54" i="6"/>
  <c r="P55" i="6"/>
  <c r="Q55" i="6"/>
  <c r="R55" i="6"/>
  <c r="S55" i="6"/>
  <c r="T55" i="6"/>
  <c r="V55" i="6"/>
  <c r="W55" i="6"/>
  <c r="X55" i="6"/>
  <c r="P56" i="6"/>
  <c r="Q56" i="6"/>
  <c r="R56" i="6"/>
  <c r="S56" i="6"/>
  <c r="T56" i="6"/>
  <c r="V56" i="6"/>
  <c r="W56" i="6"/>
  <c r="X56" i="6"/>
  <c r="P57" i="6"/>
  <c r="Q57" i="6"/>
  <c r="R57" i="6"/>
  <c r="S57" i="6"/>
  <c r="T57" i="6"/>
  <c r="V57" i="6"/>
  <c r="W57" i="6"/>
  <c r="X57" i="6"/>
  <c r="P58" i="6"/>
  <c r="Q58" i="6"/>
  <c r="R58" i="6"/>
  <c r="S58" i="6"/>
  <c r="T58" i="6"/>
  <c r="V58" i="6"/>
  <c r="W58" i="6"/>
  <c r="X58" i="6"/>
  <c r="P60" i="6"/>
  <c r="Q60" i="6"/>
  <c r="R60" i="6"/>
  <c r="S60" i="6"/>
  <c r="T60" i="6"/>
  <c r="V60" i="6"/>
  <c r="W60" i="6"/>
  <c r="X60" i="6"/>
  <c r="P61" i="6"/>
  <c r="Q61" i="6"/>
  <c r="R61" i="6"/>
  <c r="S61" i="6"/>
  <c r="T61" i="6"/>
  <c r="V61" i="6"/>
  <c r="W61" i="6"/>
  <c r="X61" i="6"/>
  <c r="P62" i="6"/>
  <c r="Q62" i="6"/>
  <c r="R62" i="6"/>
  <c r="S62" i="6"/>
  <c r="T62" i="6"/>
  <c r="V62" i="6"/>
  <c r="X62" i="6"/>
  <c r="P63" i="6"/>
  <c r="Q63" i="6"/>
  <c r="R63" i="6"/>
  <c r="S63" i="6"/>
  <c r="T63" i="6"/>
  <c r="V63" i="6"/>
  <c r="X63" i="6"/>
  <c r="P64" i="6"/>
  <c r="Q64" i="6"/>
  <c r="R64" i="6"/>
  <c r="S64" i="6"/>
  <c r="T64" i="6"/>
  <c r="V64" i="6"/>
  <c r="X64" i="6"/>
  <c r="P65" i="6"/>
  <c r="Q65" i="6"/>
  <c r="R65" i="6"/>
  <c r="S65" i="6"/>
  <c r="T65" i="6"/>
  <c r="V65" i="6"/>
  <c r="W65" i="6"/>
  <c r="X65" i="6"/>
  <c r="P66" i="6"/>
  <c r="Q66" i="6"/>
  <c r="R66" i="6"/>
  <c r="S66" i="6"/>
  <c r="T66" i="6"/>
  <c r="V66" i="6"/>
  <c r="W66" i="6"/>
  <c r="X66" i="6"/>
  <c r="P67" i="6"/>
  <c r="Q67" i="6"/>
  <c r="R67" i="6"/>
  <c r="S67" i="6"/>
  <c r="T67" i="6"/>
  <c r="V67" i="6"/>
  <c r="W67" i="6"/>
  <c r="X67" i="6"/>
  <c r="P68" i="6"/>
  <c r="Q68" i="6"/>
  <c r="R68" i="6"/>
  <c r="S68" i="6"/>
  <c r="T68" i="6"/>
  <c r="V68" i="6"/>
  <c r="W68" i="6"/>
  <c r="X68" i="6"/>
  <c r="P69" i="6"/>
  <c r="Q69" i="6"/>
  <c r="R69" i="6"/>
  <c r="S69" i="6"/>
  <c r="T69" i="6"/>
  <c r="V69" i="6"/>
  <c r="W69" i="6"/>
  <c r="X69" i="6"/>
  <c r="P70" i="6"/>
  <c r="Q70" i="6"/>
  <c r="R70" i="6"/>
  <c r="S70" i="6"/>
  <c r="T70" i="6"/>
  <c r="V70" i="6"/>
  <c r="W70" i="6"/>
  <c r="X70" i="6"/>
  <c r="P71" i="6"/>
  <c r="Q71" i="6"/>
  <c r="R71" i="6"/>
  <c r="S71" i="6"/>
  <c r="T71" i="6"/>
  <c r="V71" i="6"/>
  <c r="W71" i="6"/>
  <c r="X71" i="6"/>
  <c r="X73" i="6"/>
  <c r="P74" i="6"/>
  <c r="Q74" i="6"/>
  <c r="R74" i="6"/>
  <c r="S74" i="6"/>
  <c r="T74" i="6"/>
  <c r="U74" i="6"/>
  <c r="V74" i="6"/>
  <c r="W74" i="6"/>
  <c r="X74" i="6"/>
  <c r="Y74" i="6"/>
  <c r="O31" i="6"/>
  <c r="O32" i="6"/>
  <c r="O33" i="6"/>
  <c r="O34" i="6"/>
  <c r="O35" i="6"/>
  <c r="O36" i="6"/>
  <c r="O37" i="6"/>
  <c r="O38" i="6"/>
  <c r="O39" i="6"/>
  <c r="O40" i="6"/>
  <c r="O41" i="6"/>
  <c r="O42" i="6"/>
  <c r="O43" i="6"/>
  <c r="O44" i="6"/>
  <c r="O45" i="6"/>
  <c r="O46" i="6"/>
  <c r="O47" i="6"/>
  <c r="O48" i="6"/>
  <c r="O49" i="6"/>
  <c r="O50" i="6"/>
  <c r="O51" i="6"/>
  <c r="O52" i="6"/>
  <c r="O53" i="6"/>
  <c r="O54" i="6"/>
  <c r="O55" i="6"/>
  <c r="O56" i="6"/>
  <c r="O57" i="6"/>
  <c r="O58" i="6"/>
  <c r="O59" i="6"/>
  <c r="O60" i="6"/>
  <c r="O61" i="6"/>
  <c r="O62" i="6"/>
  <c r="O63" i="6"/>
  <c r="O64" i="6"/>
  <c r="O65" i="6"/>
  <c r="O66" i="6"/>
  <c r="O67" i="6"/>
  <c r="O68" i="6"/>
  <c r="O69" i="6"/>
  <c r="O70" i="6"/>
  <c r="O71" i="6"/>
  <c r="O72" i="6"/>
  <c r="O73" i="6"/>
  <c r="O74" i="6"/>
  <c r="O30" i="6"/>
  <c r="G9" i="6"/>
  <c r="U9" i="6"/>
  <c r="G10" i="6"/>
  <c r="U10" i="6"/>
  <c r="G11" i="6"/>
  <c r="U11" i="6"/>
  <c r="G12" i="6"/>
  <c r="U12" i="6"/>
  <c r="C13" i="6"/>
  <c r="D13" i="6"/>
  <c r="E13" i="6"/>
  <c r="F13" i="6"/>
  <c r="J13" i="6"/>
  <c r="K13" i="6"/>
  <c r="L13" i="6"/>
  <c r="P13" i="6"/>
  <c r="Q13" i="6"/>
  <c r="R13" i="6"/>
  <c r="S13" i="6"/>
  <c r="T13" i="6"/>
  <c r="V13" i="6"/>
  <c r="W13" i="6"/>
  <c r="G14" i="6"/>
  <c r="U14" i="6"/>
  <c r="G15" i="6"/>
  <c r="U15" i="6"/>
  <c r="G16" i="6"/>
  <c r="U16" i="6"/>
  <c r="G17" i="6"/>
  <c r="U17" i="6"/>
  <c r="G18" i="6"/>
  <c r="U18" i="6"/>
  <c r="G19" i="6"/>
  <c r="U19" i="6"/>
  <c r="U20" i="6"/>
  <c r="Y20" i="6" s="1"/>
  <c r="G21" i="6"/>
  <c r="U21" i="6"/>
  <c r="G22" i="6"/>
  <c r="U22" i="6"/>
  <c r="C23" i="6"/>
  <c r="D23" i="6"/>
  <c r="E23" i="6"/>
  <c r="F23" i="6"/>
  <c r="J23" i="6"/>
  <c r="K23" i="6"/>
  <c r="L23" i="6"/>
  <c r="P23" i="6"/>
  <c r="Q23" i="6"/>
  <c r="R23" i="6"/>
  <c r="S23" i="6"/>
  <c r="T23" i="6"/>
  <c r="V23" i="6"/>
  <c r="W23" i="6"/>
  <c r="G24" i="6"/>
  <c r="U24" i="6"/>
  <c r="Y24" i="6" s="1"/>
  <c r="G25" i="6"/>
  <c r="Y25" i="6" s="1"/>
  <c r="U25" i="6"/>
  <c r="U26" i="6"/>
  <c r="Y26" i="6" s="1"/>
  <c r="C27" i="6"/>
  <c r="D27" i="6"/>
  <c r="E27" i="6"/>
  <c r="F27" i="6"/>
  <c r="J27" i="6"/>
  <c r="K27" i="6"/>
  <c r="L27" i="6"/>
  <c r="P27" i="6"/>
  <c r="Q27" i="6"/>
  <c r="R27" i="6"/>
  <c r="S27" i="6"/>
  <c r="T27" i="6"/>
  <c r="V27" i="6"/>
  <c r="W27" i="6"/>
  <c r="X27" i="6"/>
  <c r="D30" i="6"/>
  <c r="E30" i="6"/>
  <c r="F30" i="6"/>
  <c r="J30" i="6"/>
  <c r="K30" i="6"/>
  <c r="L30" i="6"/>
  <c r="M30" i="6"/>
  <c r="D31" i="6"/>
  <c r="E31" i="6"/>
  <c r="F31" i="6"/>
  <c r="J31" i="6"/>
  <c r="K31" i="6"/>
  <c r="L31" i="6"/>
  <c r="M31" i="6"/>
  <c r="D32" i="6"/>
  <c r="E32" i="6"/>
  <c r="F32" i="6"/>
  <c r="J32" i="6"/>
  <c r="K32" i="6"/>
  <c r="L32" i="6"/>
  <c r="M32" i="6"/>
  <c r="D33" i="6"/>
  <c r="E33" i="6"/>
  <c r="F33" i="6"/>
  <c r="G33" i="6"/>
  <c r="J33" i="6"/>
  <c r="K33" i="6"/>
  <c r="L33" i="6"/>
  <c r="M33" i="6"/>
  <c r="D34" i="6"/>
  <c r="E34" i="6"/>
  <c r="F34" i="6"/>
  <c r="J34" i="6"/>
  <c r="K34" i="6"/>
  <c r="L34" i="6"/>
  <c r="M34" i="6"/>
  <c r="D35" i="6"/>
  <c r="E35" i="6"/>
  <c r="F35" i="6"/>
  <c r="J35" i="6"/>
  <c r="K35" i="6"/>
  <c r="L35" i="6"/>
  <c r="M35" i="6"/>
  <c r="D36" i="6"/>
  <c r="E36" i="6"/>
  <c r="F36" i="6"/>
  <c r="J36" i="6"/>
  <c r="K36" i="6"/>
  <c r="L36" i="6"/>
  <c r="M36" i="6"/>
  <c r="D37" i="6"/>
  <c r="E37" i="6"/>
  <c r="F37" i="6"/>
  <c r="G37" i="6"/>
  <c r="J37" i="6"/>
  <c r="K37" i="6"/>
  <c r="L37" i="6"/>
  <c r="M37" i="6"/>
  <c r="D38" i="6"/>
  <c r="E38" i="6"/>
  <c r="F38" i="6"/>
  <c r="J38" i="6"/>
  <c r="K38" i="6"/>
  <c r="L38" i="6"/>
  <c r="M38" i="6"/>
  <c r="D39" i="6"/>
  <c r="E39" i="6"/>
  <c r="F39" i="6"/>
  <c r="J39" i="6"/>
  <c r="K39" i="6"/>
  <c r="L39" i="6"/>
  <c r="M39" i="6"/>
  <c r="D40" i="6"/>
  <c r="E40" i="6"/>
  <c r="F40" i="6"/>
  <c r="J40" i="6"/>
  <c r="K40" i="6"/>
  <c r="L40" i="6"/>
  <c r="M40" i="6"/>
  <c r="M41" i="6"/>
  <c r="D42" i="6"/>
  <c r="E42" i="6"/>
  <c r="F42" i="6"/>
  <c r="J42" i="6"/>
  <c r="K42" i="6"/>
  <c r="L42" i="6"/>
  <c r="M42" i="6"/>
  <c r="D43" i="6"/>
  <c r="E43" i="6"/>
  <c r="F43" i="6"/>
  <c r="J43" i="6"/>
  <c r="K43" i="6"/>
  <c r="L43" i="6"/>
  <c r="M43" i="6"/>
  <c r="D44" i="6"/>
  <c r="E44" i="6"/>
  <c r="F44" i="6"/>
  <c r="J44" i="6"/>
  <c r="K44" i="6"/>
  <c r="L44" i="6"/>
  <c r="M44" i="6"/>
  <c r="D45" i="6"/>
  <c r="E45" i="6"/>
  <c r="F45" i="6"/>
  <c r="G45" i="6"/>
  <c r="J45" i="6"/>
  <c r="K45" i="6"/>
  <c r="L45" i="6"/>
  <c r="M45" i="6"/>
  <c r="D46" i="6"/>
  <c r="E46" i="6"/>
  <c r="F46" i="6"/>
  <c r="J46" i="6"/>
  <c r="K46" i="6"/>
  <c r="L46" i="6"/>
  <c r="M46" i="6"/>
  <c r="D47" i="6"/>
  <c r="E47" i="6"/>
  <c r="F47" i="6"/>
  <c r="J47" i="6"/>
  <c r="K47" i="6"/>
  <c r="L47" i="6"/>
  <c r="M47" i="6"/>
  <c r="D48" i="6"/>
  <c r="E48" i="6"/>
  <c r="F48" i="6"/>
  <c r="J48" i="6"/>
  <c r="K48" i="6"/>
  <c r="L48" i="6"/>
  <c r="M48" i="6"/>
  <c r="D49" i="6"/>
  <c r="E49" i="6"/>
  <c r="F49" i="6"/>
  <c r="J49" i="6"/>
  <c r="K49" i="6"/>
  <c r="L49" i="6"/>
  <c r="M49" i="6"/>
  <c r="D50" i="6"/>
  <c r="E50" i="6"/>
  <c r="F50" i="6"/>
  <c r="G50" i="6"/>
  <c r="J50" i="6"/>
  <c r="K50" i="6"/>
  <c r="L50" i="6"/>
  <c r="M50" i="6"/>
  <c r="D51" i="6"/>
  <c r="E51" i="6"/>
  <c r="F51" i="6"/>
  <c r="J51" i="6"/>
  <c r="K51" i="6"/>
  <c r="L51" i="6"/>
  <c r="M51" i="6"/>
  <c r="D52" i="6"/>
  <c r="E52" i="6"/>
  <c r="F52" i="6"/>
  <c r="J52" i="6"/>
  <c r="K52" i="6"/>
  <c r="L52" i="6"/>
  <c r="M52" i="6"/>
  <c r="D53" i="6"/>
  <c r="E53" i="6"/>
  <c r="F53" i="6"/>
  <c r="J53" i="6"/>
  <c r="K53" i="6"/>
  <c r="L53" i="6"/>
  <c r="M53" i="6"/>
  <c r="D54" i="6"/>
  <c r="E54" i="6"/>
  <c r="F54" i="6"/>
  <c r="J54" i="6"/>
  <c r="K54" i="6"/>
  <c r="L54" i="6"/>
  <c r="M54" i="6"/>
  <c r="D55" i="6"/>
  <c r="E55" i="6"/>
  <c r="F55" i="6"/>
  <c r="J55" i="6"/>
  <c r="K55" i="6"/>
  <c r="L55" i="6"/>
  <c r="M55" i="6"/>
  <c r="D56" i="6"/>
  <c r="E56" i="6"/>
  <c r="F56" i="6"/>
  <c r="J56" i="6"/>
  <c r="K56" i="6"/>
  <c r="L56" i="6"/>
  <c r="M56" i="6"/>
  <c r="D57" i="6"/>
  <c r="E57" i="6"/>
  <c r="F57" i="6"/>
  <c r="J57" i="6"/>
  <c r="K57" i="6"/>
  <c r="L57" i="6"/>
  <c r="M57" i="6"/>
  <c r="D58" i="6"/>
  <c r="E58" i="6"/>
  <c r="F58" i="6"/>
  <c r="J58" i="6"/>
  <c r="K58" i="6"/>
  <c r="L58" i="6"/>
  <c r="M58" i="6"/>
  <c r="M59" i="6"/>
  <c r="D60" i="6"/>
  <c r="E60" i="6"/>
  <c r="F60" i="6"/>
  <c r="J60" i="6"/>
  <c r="K60" i="6"/>
  <c r="M60" i="6"/>
  <c r="D61" i="6"/>
  <c r="E61" i="6"/>
  <c r="F61" i="6"/>
  <c r="J61" i="6"/>
  <c r="K61" i="6"/>
  <c r="M61" i="6"/>
  <c r="D62" i="6"/>
  <c r="K62" i="6"/>
  <c r="M62" i="6"/>
  <c r="K63" i="6"/>
  <c r="M63" i="6"/>
  <c r="K64" i="6"/>
  <c r="M64" i="6"/>
  <c r="D65" i="6"/>
  <c r="E65" i="6"/>
  <c r="F65" i="6"/>
  <c r="J65" i="6"/>
  <c r="K65" i="6"/>
  <c r="M65" i="6"/>
  <c r="D66" i="6"/>
  <c r="K66" i="6"/>
  <c r="M66" i="6"/>
  <c r="D67" i="6"/>
  <c r="E67" i="6"/>
  <c r="F67" i="6"/>
  <c r="J67" i="6"/>
  <c r="K67" i="6"/>
  <c r="M67" i="6"/>
  <c r="D68" i="6"/>
  <c r="E68" i="6"/>
  <c r="F68" i="6"/>
  <c r="J68" i="6"/>
  <c r="K68" i="6"/>
  <c r="M68" i="6"/>
  <c r="D69" i="6"/>
  <c r="E69" i="6"/>
  <c r="F69" i="6"/>
  <c r="J69" i="6"/>
  <c r="K69" i="6"/>
  <c r="M69" i="6"/>
  <c r="D70" i="6"/>
  <c r="E70" i="6"/>
  <c r="F70" i="6"/>
  <c r="J70" i="6"/>
  <c r="K70" i="6"/>
  <c r="M70" i="6"/>
  <c r="D71" i="6"/>
  <c r="E71" i="6"/>
  <c r="F71" i="6"/>
  <c r="J71" i="6"/>
  <c r="K71" i="6"/>
  <c r="M71" i="6"/>
  <c r="M72" i="6"/>
  <c r="M73" i="6"/>
  <c r="J74" i="6"/>
  <c r="K74" i="6"/>
  <c r="L74" i="6"/>
  <c r="M74" i="6"/>
  <c r="C31" i="6"/>
  <c r="C32" i="6"/>
  <c r="C33" i="6"/>
  <c r="C34" i="6"/>
  <c r="C35" i="6"/>
  <c r="C36" i="6"/>
  <c r="C37" i="6"/>
  <c r="C38" i="6"/>
  <c r="C39" i="6"/>
  <c r="C40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60" i="6"/>
  <c r="C61" i="6"/>
  <c r="C62" i="6"/>
  <c r="C63" i="6"/>
  <c r="C64" i="6"/>
  <c r="C65" i="6"/>
  <c r="C66" i="6"/>
  <c r="C67" i="6"/>
  <c r="C68" i="6"/>
  <c r="C69" i="6"/>
  <c r="C70" i="6"/>
  <c r="C71" i="6"/>
  <c r="C30" i="6"/>
  <c r="B74" i="6"/>
  <c r="B73" i="6"/>
  <c r="B72" i="6"/>
  <c r="B62" i="6"/>
  <c r="B63" i="6"/>
  <c r="B64" i="6"/>
  <c r="B65" i="6"/>
  <c r="B66" i="6"/>
  <c r="B67" i="6"/>
  <c r="B68" i="6"/>
  <c r="B69" i="6"/>
  <c r="B70" i="6"/>
  <c r="B71" i="6"/>
  <c r="B61" i="6"/>
  <c r="B60" i="6"/>
  <c r="B59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43" i="6"/>
  <c r="B42" i="6"/>
  <c r="B41" i="6"/>
  <c r="B31" i="6"/>
  <c r="B32" i="6"/>
  <c r="B33" i="6"/>
  <c r="B34" i="6"/>
  <c r="B35" i="6"/>
  <c r="B36" i="6"/>
  <c r="B37" i="6"/>
  <c r="B38" i="6"/>
  <c r="B39" i="6"/>
  <c r="B40" i="6"/>
  <c r="B30" i="6"/>
  <c r="A73" i="6"/>
  <c r="A72" i="6"/>
  <c r="A60" i="6"/>
  <c r="A59" i="6"/>
  <c r="A42" i="6"/>
  <c r="A41" i="6"/>
  <c r="A30" i="6"/>
  <c r="P9" i="5"/>
  <c r="Q9" i="5"/>
  <c r="R9" i="5"/>
  <c r="S9" i="5"/>
  <c r="T9" i="5"/>
  <c r="V9" i="5"/>
  <c r="W9" i="5"/>
  <c r="X9" i="5"/>
  <c r="P10" i="5"/>
  <c r="Q10" i="5"/>
  <c r="R10" i="5"/>
  <c r="S10" i="5"/>
  <c r="T10" i="5"/>
  <c r="V10" i="5"/>
  <c r="W10" i="5"/>
  <c r="X10" i="5"/>
  <c r="P11" i="5"/>
  <c r="Q11" i="5"/>
  <c r="R11" i="5"/>
  <c r="S11" i="5"/>
  <c r="T11" i="5"/>
  <c r="V11" i="5"/>
  <c r="W11" i="5"/>
  <c r="X11" i="5"/>
  <c r="P12" i="5"/>
  <c r="Q12" i="5"/>
  <c r="R12" i="5"/>
  <c r="S12" i="5"/>
  <c r="T12" i="5"/>
  <c r="V12" i="5"/>
  <c r="W12" i="5"/>
  <c r="X12" i="5"/>
  <c r="X13" i="5"/>
  <c r="P14" i="5"/>
  <c r="Q14" i="5"/>
  <c r="R14" i="5"/>
  <c r="S14" i="5"/>
  <c r="T14" i="5"/>
  <c r="V14" i="5"/>
  <c r="W14" i="5"/>
  <c r="X14" i="5"/>
  <c r="P15" i="5"/>
  <c r="Q15" i="5"/>
  <c r="R15" i="5"/>
  <c r="S15" i="5"/>
  <c r="T15" i="5"/>
  <c r="V15" i="5"/>
  <c r="W15" i="5"/>
  <c r="X15" i="5"/>
  <c r="P16" i="5"/>
  <c r="Q16" i="5"/>
  <c r="R16" i="5"/>
  <c r="S16" i="5"/>
  <c r="T16" i="5"/>
  <c r="V16" i="5"/>
  <c r="W16" i="5"/>
  <c r="X16" i="5"/>
  <c r="P17" i="5"/>
  <c r="Q17" i="5"/>
  <c r="R17" i="5"/>
  <c r="S17" i="5"/>
  <c r="T17" i="5"/>
  <c r="V17" i="5"/>
  <c r="W17" i="5"/>
  <c r="X17" i="5"/>
  <c r="P18" i="5"/>
  <c r="Q18" i="5"/>
  <c r="R18" i="5"/>
  <c r="S18" i="5"/>
  <c r="T18" i="5"/>
  <c r="V18" i="5"/>
  <c r="W18" i="5"/>
  <c r="X18" i="5"/>
  <c r="P19" i="5"/>
  <c r="Q19" i="5"/>
  <c r="R19" i="5"/>
  <c r="S19" i="5"/>
  <c r="T19" i="5"/>
  <c r="V19" i="5"/>
  <c r="W19" i="5"/>
  <c r="X19" i="5"/>
  <c r="P20" i="5"/>
  <c r="Q20" i="5"/>
  <c r="R20" i="5"/>
  <c r="S20" i="5"/>
  <c r="T20" i="5"/>
  <c r="V20" i="5"/>
  <c r="W20" i="5"/>
  <c r="X20" i="5"/>
  <c r="P21" i="5"/>
  <c r="Q21" i="5"/>
  <c r="R21" i="5"/>
  <c r="S21" i="5"/>
  <c r="T21" i="5"/>
  <c r="V21" i="5"/>
  <c r="W21" i="5"/>
  <c r="X21" i="5"/>
  <c r="P22" i="5"/>
  <c r="Q22" i="5"/>
  <c r="R22" i="5"/>
  <c r="S22" i="5"/>
  <c r="T22" i="5"/>
  <c r="V22" i="5"/>
  <c r="W22" i="5"/>
  <c r="X22" i="5"/>
  <c r="X23" i="5"/>
  <c r="P24" i="5"/>
  <c r="Q24" i="5"/>
  <c r="R24" i="5"/>
  <c r="S24" i="5"/>
  <c r="T24" i="5"/>
  <c r="V24" i="5"/>
  <c r="W24" i="5"/>
  <c r="X24" i="5"/>
  <c r="P25" i="5"/>
  <c r="Q25" i="5"/>
  <c r="R25" i="5"/>
  <c r="S25" i="5"/>
  <c r="T25" i="5"/>
  <c r="V25" i="5"/>
  <c r="W25" i="5"/>
  <c r="X25" i="5"/>
  <c r="P26" i="5"/>
  <c r="Q26" i="5"/>
  <c r="R26" i="5"/>
  <c r="S26" i="5"/>
  <c r="T26" i="5"/>
  <c r="V26" i="5"/>
  <c r="W26" i="5"/>
  <c r="X26" i="5"/>
  <c r="X28" i="5"/>
  <c r="P29" i="5"/>
  <c r="Q29" i="5"/>
  <c r="R29" i="5"/>
  <c r="S29" i="5"/>
  <c r="T29" i="5"/>
  <c r="U29" i="5"/>
  <c r="V29" i="5"/>
  <c r="W29" i="5"/>
  <c r="X2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9" i="5"/>
  <c r="D9" i="5"/>
  <c r="E9" i="5"/>
  <c r="F9" i="5"/>
  <c r="J9" i="5"/>
  <c r="K9" i="5"/>
  <c r="L9" i="5"/>
  <c r="M9" i="5"/>
  <c r="D10" i="5"/>
  <c r="E10" i="5"/>
  <c r="F10" i="5"/>
  <c r="J10" i="5"/>
  <c r="K10" i="5"/>
  <c r="L10" i="5"/>
  <c r="M10" i="5"/>
  <c r="D11" i="5"/>
  <c r="E11" i="5"/>
  <c r="F11" i="5"/>
  <c r="J11" i="5"/>
  <c r="K11" i="5"/>
  <c r="L11" i="5"/>
  <c r="M11" i="5"/>
  <c r="D12" i="5"/>
  <c r="E12" i="5"/>
  <c r="F12" i="5"/>
  <c r="J12" i="5"/>
  <c r="K12" i="5"/>
  <c r="L12" i="5"/>
  <c r="M12" i="5"/>
  <c r="M13" i="5"/>
  <c r="D14" i="5"/>
  <c r="E14" i="5"/>
  <c r="F14" i="5"/>
  <c r="J14" i="5"/>
  <c r="K14" i="5"/>
  <c r="L14" i="5"/>
  <c r="M14" i="5"/>
  <c r="D15" i="5"/>
  <c r="E15" i="5"/>
  <c r="F15" i="5"/>
  <c r="J15" i="5"/>
  <c r="K15" i="5"/>
  <c r="L15" i="5"/>
  <c r="M15" i="5"/>
  <c r="D16" i="5"/>
  <c r="E16" i="5"/>
  <c r="F16" i="5"/>
  <c r="J16" i="5"/>
  <c r="K16" i="5"/>
  <c r="L16" i="5"/>
  <c r="M16" i="5"/>
  <c r="D17" i="5"/>
  <c r="E17" i="5"/>
  <c r="F17" i="5"/>
  <c r="J17" i="5"/>
  <c r="K17" i="5"/>
  <c r="L17" i="5"/>
  <c r="M17" i="5"/>
  <c r="D18" i="5"/>
  <c r="E18" i="5"/>
  <c r="F18" i="5"/>
  <c r="J18" i="5"/>
  <c r="K18" i="5"/>
  <c r="L18" i="5"/>
  <c r="M18" i="5"/>
  <c r="D19" i="5"/>
  <c r="E19" i="5"/>
  <c r="F19" i="5"/>
  <c r="J19" i="5"/>
  <c r="K19" i="5"/>
  <c r="L19" i="5"/>
  <c r="M19" i="5"/>
  <c r="D20" i="5"/>
  <c r="E20" i="5"/>
  <c r="F20" i="5"/>
  <c r="G20" i="5"/>
  <c r="J20" i="5"/>
  <c r="K20" i="5"/>
  <c r="L20" i="5"/>
  <c r="M20" i="5"/>
  <c r="D21" i="5"/>
  <c r="E21" i="5"/>
  <c r="F21" i="5"/>
  <c r="J21" i="5"/>
  <c r="K21" i="5"/>
  <c r="L21" i="5"/>
  <c r="M21" i="5"/>
  <c r="D22" i="5"/>
  <c r="E22" i="5"/>
  <c r="F22" i="5"/>
  <c r="J22" i="5"/>
  <c r="K22" i="5"/>
  <c r="L22" i="5"/>
  <c r="M22" i="5"/>
  <c r="M23" i="5"/>
  <c r="D24" i="5"/>
  <c r="E24" i="5"/>
  <c r="F24" i="5"/>
  <c r="J24" i="5"/>
  <c r="K24" i="5"/>
  <c r="L24" i="5"/>
  <c r="M24" i="5"/>
  <c r="D25" i="5"/>
  <c r="E25" i="5"/>
  <c r="F25" i="5"/>
  <c r="J25" i="5"/>
  <c r="K25" i="5"/>
  <c r="L25" i="5"/>
  <c r="M25" i="5"/>
  <c r="D26" i="5"/>
  <c r="E26" i="5"/>
  <c r="F26" i="5"/>
  <c r="G26" i="5"/>
  <c r="J26" i="5"/>
  <c r="K26" i="5"/>
  <c r="L26" i="5"/>
  <c r="M26" i="5"/>
  <c r="M27" i="5"/>
  <c r="M28" i="5"/>
  <c r="J29" i="5"/>
  <c r="K29" i="5"/>
  <c r="L29" i="5"/>
  <c r="M29" i="5"/>
  <c r="C10" i="5"/>
  <c r="C11" i="5"/>
  <c r="C12" i="5"/>
  <c r="C14" i="5"/>
  <c r="C15" i="5"/>
  <c r="C16" i="5"/>
  <c r="C17" i="5"/>
  <c r="C18" i="5"/>
  <c r="C19" i="5"/>
  <c r="C20" i="5"/>
  <c r="C21" i="5"/>
  <c r="C22" i="5"/>
  <c r="C24" i="5"/>
  <c r="C25" i="5"/>
  <c r="C26" i="5"/>
  <c r="C30" i="5"/>
  <c r="C31" i="5"/>
  <c r="C32" i="5"/>
  <c r="C33" i="5"/>
  <c r="C34" i="5"/>
  <c r="C35" i="5"/>
  <c r="C36" i="5"/>
  <c r="C37" i="5"/>
  <c r="C38" i="5"/>
  <c r="C39" i="5"/>
  <c r="C40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60" i="5"/>
  <c r="C61" i="5"/>
  <c r="C62" i="5"/>
  <c r="C63" i="5"/>
  <c r="C64" i="5"/>
  <c r="C65" i="5"/>
  <c r="C66" i="5"/>
  <c r="C67" i="5"/>
  <c r="C68" i="5"/>
  <c r="C69" i="5"/>
  <c r="C70" i="5"/>
  <c r="C71" i="5"/>
  <c r="C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9" i="5"/>
  <c r="Y18" i="6" l="1"/>
  <c r="Y16" i="6"/>
  <c r="U13" i="6"/>
  <c r="Y13" i="6" s="1"/>
  <c r="Q28" i="6"/>
  <c r="Y9" i="6"/>
  <c r="F15" i="8"/>
  <c r="F26" i="8" s="1"/>
  <c r="W28" i="6"/>
  <c r="T28" i="6"/>
  <c r="G13" i="6"/>
  <c r="Y22" i="6"/>
  <c r="L28" i="6"/>
  <c r="U23" i="6"/>
  <c r="Y21" i="6"/>
  <c r="R28" i="6"/>
  <c r="K28" i="6"/>
  <c r="Y14" i="6"/>
  <c r="V28" i="6"/>
  <c r="Y10" i="6"/>
  <c r="Y19" i="6"/>
  <c r="Y15" i="6"/>
  <c r="U27" i="6"/>
  <c r="Y11" i="6"/>
  <c r="S28" i="6"/>
  <c r="Y17" i="6"/>
  <c r="C28" i="6"/>
  <c r="G27" i="6"/>
  <c r="P28" i="6"/>
  <c r="Y12" i="6"/>
  <c r="F28" i="6"/>
  <c r="D28" i="6"/>
  <c r="J28" i="6"/>
  <c r="E28" i="6"/>
  <c r="G23" i="6"/>
  <c r="X72" i="5"/>
  <c r="V72" i="5"/>
  <c r="T72" i="5"/>
  <c r="S72" i="5"/>
  <c r="R72" i="5"/>
  <c r="Q72" i="5"/>
  <c r="P72" i="5"/>
  <c r="K72" i="5"/>
  <c r="U71" i="5"/>
  <c r="L71" i="5"/>
  <c r="G71" i="5"/>
  <c r="U70" i="5"/>
  <c r="L70" i="5"/>
  <c r="G70" i="5"/>
  <c r="U69" i="5"/>
  <c r="L69" i="5"/>
  <c r="G69" i="5"/>
  <c r="U68" i="5"/>
  <c r="L68" i="5"/>
  <c r="G68" i="5"/>
  <c r="U67" i="5"/>
  <c r="L67" i="5"/>
  <c r="G67" i="5"/>
  <c r="U66" i="5"/>
  <c r="J66" i="5"/>
  <c r="F66" i="5"/>
  <c r="E66" i="5"/>
  <c r="U65" i="5"/>
  <c r="L65" i="5"/>
  <c r="G65" i="5"/>
  <c r="U64" i="5"/>
  <c r="W64" i="5" s="1"/>
  <c r="J64" i="5"/>
  <c r="F64" i="5"/>
  <c r="E64" i="5"/>
  <c r="D64" i="5"/>
  <c r="U63" i="5"/>
  <c r="W63" i="5" s="1"/>
  <c r="J63" i="5"/>
  <c r="F63" i="5"/>
  <c r="E63" i="5"/>
  <c r="D63" i="5"/>
  <c r="U62" i="5"/>
  <c r="W62" i="5" s="1"/>
  <c r="J62" i="5"/>
  <c r="F62" i="5"/>
  <c r="E62" i="5"/>
  <c r="U61" i="5"/>
  <c r="L61" i="5"/>
  <c r="G61" i="5"/>
  <c r="U60" i="5"/>
  <c r="L60" i="5"/>
  <c r="G60" i="5"/>
  <c r="X59" i="5"/>
  <c r="W59" i="5"/>
  <c r="V59" i="5"/>
  <c r="T59" i="5"/>
  <c r="S59" i="5"/>
  <c r="R59" i="5"/>
  <c r="Q59" i="5"/>
  <c r="P59" i="5"/>
  <c r="L59" i="5"/>
  <c r="K59" i="5"/>
  <c r="J59" i="5"/>
  <c r="F59" i="5"/>
  <c r="E59" i="5"/>
  <c r="D59" i="5"/>
  <c r="U58" i="5"/>
  <c r="G58" i="5"/>
  <c r="U57" i="5"/>
  <c r="G57" i="5"/>
  <c r="U56" i="5"/>
  <c r="G56" i="5"/>
  <c r="U55" i="5"/>
  <c r="G55" i="5"/>
  <c r="U54" i="5"/>
  <c r="G54" i="5"/>
  <c r="U53" i="5"/>
  <c r="G53" i="5"/>
  <c r="U52" i="5"/>
  <c r="G52" i="5"/>
  <c r="U51" i="5"/>
  <c r="G51" i="5"/>
  <c r="U50" i="5"/>
  <c r="Y50" i="5" s="1"/>
  <c r="U49" i="5"/>
  <c r="G49" i="5"/>
  <c r="Y49" i="5" s="1"/>
  <c r="U48" i="5"/>
  <c r="G48" i="5"/>
  <c r="U47" i="5"/>
  <c r="G47" i="5"/>
  <c r="U46" i="5"/>
  <c r="G46" i="5"/>
  <c r="U45" i="5"/>
  <c r="Y45" i="5" s="1"/>
  <c r="U44" i="5"/>
  <c r="G44" i="5"/>
  <c r="U43" i="5"/>
  <c r="G43" i="5"/>
  <c r="Y43" i="5" s="1"/>
  <c r="U42" i="5"/>
  <c r="G42" i="5"/>
  <c r="W41" i="5"/>
  <c r="V41" i="5"/>
  <c r="T41" i="5"/>
  <c r="S41" i="5"/>
  <c r="R41" i="5"/>
  <c r="Q41" i="5"/>
  <c r="P41" i="5"/>
  <c r="L41" i="5"/>
  <c r="K41" i="5"/>
  <c r="J41" i="5"/>
  <c r="F41" i="5"/>
  <c r="E41" i="5"/>
  <c r="D41" i="5"/>
  <c r="U40" i="5"/>
  <c r="G40" i="5"/>
  <c r="U39" i="5"/>
  <c r="G39" i="5"/>
  <c r="U38" i="5"/>
  <c r="G38" i="5"/>
  <c r="U37" i="5"/>
  <c r="Y37" i="5" s="1"/>
  <c r="U36" i="5"/>
  <c r="G36" i="5"/>
  <c r="Y36" i="5" s="1"/>
  <c r="U35" i="5"/>
  <c r="G35" i="5"/>
  <c r="U34" i="5"/>
  <c r="G34" i="5"/>
  <c r="U33" i="5"/>
  <c r="Y33" i="5" s="1"/>
  <c r="U32" i="5"/>
  <c r="G32" i="5"/>
  <c r="U31" i="5"/>
  <c r="G31" i="5"/>
  <c r="U30" i="5"/>
  <c r="G30" i="5"/>
  <c r="Y55" i="5" l="1"/>
  <c r="Y23" i="6"/>
  <c r="U28" i="6"/>
  <c r="Y40" i="5"/>
  <c r="U72" i="5"/>
  <c r="Y61" i="5"/>
  <c r="Y70" i="5"/>
  <c r="Y39" i="5"/>
  <c r="Y54" i="5"/>
  <c r="Y56" i="5"/>
  <c r="Y58" i="5"/>
  <c r="Y57" i="5"/>
  <c r="V73" i="5"/>
  <c r="F72" i="5"/>
  <c r="F73" i="5" s="1"/>
  <c r="G62" i="5"/>
  <c r="Y62" i="5" s="1"/>
  <c r="G64" i="5"/>
  <c r="Y64" i="5" s="1"/>
  <c r="L62" i="5"/>
  <c r="L64" i="5"/>
  <c r="Y60" i="5"/>
  <c r="E72" i="5"/>
  <c r="E73" i="5" s="1"/>
  <c r="T73" i="5"/>
  <c r="K73" i="5"/>
  <c r="Y27" i="6"/>
  <c r="Y28" i="6" s="1"/>
  <c r="E29" i="6"/>
  <c r="J29" i="6"/>
  <c r="G28" i="6"/>
  <c r="D29" i="6"/>
  <c r="Y32" i="5"/>
  <c r="Y42" i="5"/>
  <c r="Y68" i="5"/>
  <c r="Y44" i="5"/>
  <c r="Y51" i="5"/>
  <c r="Y46" i="5"/>
  <c r="Y48" i="5"/>
  <c r="Y67" i="5"/>
  <c r="Y34" i="5"/>
  <c r="S73" i="5"/>
  <c r="Y65" i="5"/>
  <c r="R73" i="5"/>
  <c r="Y31" i="5"/>
  <c r="Y38" i="5"/>
  <c r="Y47" i="5"/>
  <c r="Y30" i="5"/>
  <c r="L63" i="5"/>
  <c r="D72" i="5"/>
  <c r="G63" i="5"/>
  <c r="Y63" i="5" s="1"/>
  <c r="U59" i="5"/>
  <c r="P73" i="5"/>
  <c r="J72" i="5"/>
  <c r="J73" i="5" s="1"/>
  <c r="Y35" i="5"/>
  <c r="Q73" i="5"/>
  <c r="U41" i="5"/>
  <c r="Y53" i="5"/>
  <c r="Y69" i="5"/>
  <c r="Y52" i="5"/>
  <c r="Y71" i="5"/>
  <c r="L66" i="5"/>
  <c r="G66" i="5"/>
  <c r="Y66" i="5" s="1"/>
  <c r="W72" i="5"/>
  <c r="W73" i="5" s="1"/>
  <c r="L61" i="4"/>
  <c r="L65" i="4"/>
  <c r="L67" i="4"/>
  <c r="L68" i="4"/>
  <c r="L69" i="4"/>
  <c r="L70" i="4"/>
  <c r="L71" i="4"/>
  <c r="L60" i="4"/>
  <c r="G53" i="4"/>
  <c r="C41" i="4"/>
  <c r="C24" i="12" s="1"/>
  <c r="G53" i="9" l="1"/>
  <c r="M53" i="4"/>
  <c r="L65" i="6"/>
  <c r="L65" i="9"/>
  <c r="L60" i="6"/>
  <c r="L60" i="9"/>
  <c r="L68" i="6"/>
  <c r="L68" i="9"/>
  <c r="L69" i="6"/>
  <c r="L69" i="9"/>
  <c r="L61" i="6"/>
  <c r="L61" i="9"/>
  <c r="L71" i="6"/>
  <c r="L71" i="9"/>
  <c r="L67" i="6"/>
  <c r="L67" i="9"/>
  <c r="L70" i="6"/>
  <c r="L70" i="9"/>
  <c r="C41" i="9"/>
  <c r="I53" i="4"/>
  <c r="G53" i="6"/>
  <c r="C41" i="5"/>
  <c r="C41" i="6"/>
  <c r="H14" i="6"/>
  <c r="H9" i="6"/>
  <c r="H11" i="6"/>
  <c r="H22" i="6"/>
  <c r="H17" i="6"/>
  <c r="H19" i="6"/>
  <c r="H10" i="6"/>
  <c r="H12" i="6"/>
  <c r="C29" i="6"/>
  <c r="H27" i="6"/>
  <c r="H25" i="6"/>
  <c r="H18" i="6"/>
  <c r="H24" i="6"/>
  <c r="H26" i="6"/>
  <c r="H13" i="6"/>
  <c r="H15" i="6"/>
  <c r="H20" i="6"/>
  <c r="F29" i="6"/>
  <c r="H23" i="6"/>
  <c r="H21" i="6"/>
  <c r="H16" i="6"/>
  <c r="L72" i="5"/>
  <c r="L73" i="5" s="1"/>
  <c r="Y72" i="5"/>
  <c r="H45" i="5"/>
  <c r="H70" i="5"/>
  <c r="H48" i="5"/>
  <c r="H53" i="5"/>
  <c r="U73" i="5"/>
  <c r="H42" i="5"/>
  <c r="H40" i="5"/>
  <c r="H66" i="5"/>
  <c r="H52" i="5"/>
  <c r="H47" i="5"/>
  <c r="H62" i="5"/>
  <c r="H49" i="5"/>
  <c r="H57" i="5"/>
  <c r="H30" i="5"/>
  <c r="H31" i="5"/>
  <c r="H44" i="5"/>
  <c r="H34" i="5"/>
  <c r="H39" i="5"/>
  <c r="H64" i="5"/>
  <c r="H68" i="5"/>
  <c r="H71" i="5"/>
  <c r="H46" i="5"/>
  <c r="H35" i="5"/>
  <c r="H67" i="5"/>
  <c r="H60" i="5"/>
  <c r="H43" i="5"/>
  <c r="H32" i="5"/>
  <c r="H63" i="5"/>
  <c r="D73" i="5"/>
  <c r="H38" i="5"/>
  <c r="H37" i="5"/>
  <c r="H69" i="5"/>
  <c r="H54" i="5"/>
  <c r="H58" i="5"/>
  <c r="H33" i="5"/>
  <c r="H65" i="5"/>
  <c r="H36" i="5"/>
  <c r="H61" i="5"/>
  <c r="H51" i="5"/>
  <c r="H56" i="5"/>
  <c r="H55" i="5"/>
  <c r="H50" i="5"/>
  <c r="K72" i="4"/>
  <c r="L59" i="4"/>
  <c r="J25" i="12" s="1"/>
  <c r="K59" i="4"/>
  <c r="L41" i="4"/>
  <c r="J24" i="12" s="1"/>
  <c r="K41" i="4"/>
  <c r="L27" i="4"/>
  <c r="K27" i="4"/>
  <c r="I22" i="12" s="1"/>
  <c r="L23" i="4"/>
  <c r="K23" i="4"/>
  <c r="I21" i="12" s="1"/>
  <c r="K13" i="4"/>
  <c r="I20" i="12" s="1"/>
  <c r="J66" i="4"/>
  <c r="J64" i="4"/>
  <c r="J63" i="4"/>
  <c r="J62" i="4"/>
  <c r="J59" i="4"/>
  <c r="J41" i="4"/>
  <c r="J27" i="4"/>
  <c r="J23" i="4"/>
  <c r="J13" i="4"/>
  <c r="J13" i="9" l="1"/>
  <c r="H20" i="12"/>
  <c r="J41" i="9"/>
  <c r="H24" i="12"/>
  <c r="J59" i="9"/>
  <c r="H25" i="12"/>
  <c r="J23" i="9"/>
  <c r="H21" i="12"/>
  <c r="J27" i="9"/>
  <c r="H22" i="12"/>
  <c r="J66" i="9"/>
  <c r="J66" i="6"/>
  <c r="J63" i="9"/>
  <c r="J63" i="6"/>
  <c r="J64" i="9"/>
  <c r="J64" i="6"/>
  <c r="J62" i="9"/>
  <c r="J62" i="6"/>
  <c r="K72" i="6"/>
  <c r="K72" i="9"/>
  <c r="K59" i="6"/>
  <c r="K59" i="9"/>
  <c r="L59" i="6"/>
  <c r="L59" i="9"/>
  <c r="I53" i="6"/>
  <c r="I53" i="9"/>
  <c r="L41" i="6"/>
  <c r="L41" i="9"/>
  <c r="K41" i="6"/>
  <c r="K41" i="9"/>
  <c r="L27" i="5"/>
  <c r="L27" i="9"/>
  <c r="K27" i="5"/>
  <c r="K27" i="9"/>
  <c r="K23" i="5"/>
  <c r="K23" i="9"/>
  <c r="L23" i="5"/>
  <c r="L23" i="9"/>
  <c r="K13" i="5"/>
  <c r="K13" i="9"/>
  <c r="L13" i="5"/>
  <c r="L13" i="9"/>
  <c r="J13" i="5"/>
  <c r="J23" i="5"/>
  <c r="J27" i="5"/>
  <c r="J59" i="6"/>
  <c r="H41" i="5"/>
  <c r="G41" i="5"/>
  <c r="Y41" i="5" s="1"/>
  <c r="J41" i="6"/>
  <c r="H28" i="6"/>
  <c r="H72" i="5"/>
  <c r="J28" i="4"/>
  <c r="K73" i="4"/>
  <c r="J72" i="4"/>
  <c r="K28" i="4"/>
  <c r="K28" i="9" s="1"/>
  <c r="L28" i="4"/>
  <c r="C72" i="4"/>
  <c r="C59" i="4"/>
  <c r="D27" i="4"/>
  <c r="D22" i="12" s="1"/>
  <c r="C27" i="4"/>
  <c r="C22" i="12" s="1"/>
  <c r="C13" i="4"/>
  <c r="C20" i="12" s="1"/>
  <c r="J72" i="9" l="1"/>
  <c r="H26" i="12"/>
  <c r="C59" i="9"/>
  <c r="C25" i="12"/>
  <c r="C72" i="9"/>
  <c r="C26" i="12"/>
  <c r="J28" i="9"/>
  <c r="H23" i="12"/>
  <c r="K73" i="6"/>
  <c r="K75" i="6" s="1"/>
  <c r="K73" i="9"/>
  <c r="C27" i="9"/>
  <c r="D27" i="5"/>
  <c r="D27" i="9"/>
  <c r="C23" i="9"/>
  <c r="C13" i="9"/>
  <c r="L28" i="5"/>
  <c r="L75" i="5" s="1"/>
  <c r="L28" i="9"/>
  <c r="C23" i="5"/>
  <c r="C13" i="5"/>
  <c r="C27" i="5"/>
  <c r="J72" i="6"/>
  <c r="C72" i="6"/>
  <c r="C72" i="5"/>
  <c r="C59" i="6"/>
  <c r="C59" i="5"/>
  <c r="C73" i="4"/>
  <c r="C27" i="12" s="1"/>
  <c r="J28" i="5"/>
  <c r="J75" i="5" s="1"/>
  <c r="K75" i="4"/>
  <c r="K75" i="9" s="1"/>
  <c r="K28" i="5"/>
  <c r="K75" i="5" s="1"/>
  <c r="G29" i="6"/>
  <c r="J73" i="4"/>
  <c r="C28" i="4"/>
  <c r="D59" i="4"/>
  <c r="D25" i="12" s="1"/>
  <c r="V42" i="4"/>
  <c r="V43" i="4"/>
  <c r="V44" i="4"/>
  <c r="V45" i="4"/>
  <c r="U45" i="9" s="1"/>
  <c r="Y45" i="9" s="1"/>
  <c r="V46" i="4"/>
  <c r="V47" i="4"/>
  <c r="G42" i="4"/>
  <c r="G43" i="4"/>
  <c r="M43" i="4" s="1"/>
  <c r="G44" i="4"/>
  <c r="G46" i="4"/>
  <c r="J73" i="9" l="1"/>
  <c r="H27" i="12"/>
  <c r="C29" i="4"/>
  <c r="C23" i="12"/>
  <c r="C73" i="9"/>
  <c r="C74" i="4"/>
  <c r="C74" i="9" s="1"/>
  <c r="G46" i="9"/>
  <c r="M46" i="4"/>
  <c r="G44" i="9"/>
  <c r="M44" i="4"/>
  <c r="G42" i="9"/>
  <c r="M42" i="4"/>
  <c r="U46" i="6"/>
  <c r="U46" i="9"/>
  <c r="U42" i="6"/>
  <c r="U42" i="9"/>
  <c r="U48" i="6"/>
  <c r="U48" i="9"/>
  <c r="U49" i="6"/>
  <c r="U49" i="9"/>
  <c r="D59" i="6"/>
  <c r="D59" i="9"/>
  <c r="U44" i="6"/>
  <c r="U44" i="9"/>
  <c r="Z43" i="4"/>
  <c r="Y43" i="6" s="1"/>
  <c r="G43" i="9"/>
  <c r="U47" i="6"/>
  <c r="U47" i="9"/>
  <c r="U43" i="6"/>
  <c r="U43" i="9"/>
  <c r="C28" i="9"/>
  <c r="G46" i="6"/>
  <c r="Z46" i="4"/>
  <c r="Y46" i="6" s="1"/>
  <c r="U45" i="6"/>
  <c r="Z45" i="4"/>
  <c r="Y45" i="6" s="1"/>
  <c r="G44" i="6"/>
  <c r="Z44" i="4"/>
  <c r="Y44" i="6" s="1"/>
  <c r="G42" i="6"/>
  <c r="Z42" i="4"/>
  <c r="Y42" i="6" s="1"/>
  <c r="G72" i="5"/>
  <c r="G43" i="6"/>
  <c r="C73" i="6"/>
  <c r="C75" i="6" s="1"/>
  <c r="C73" i="5"/>
  <c r="H59" i="5"/>
  <c r="H73" i="5" s="1"/>
  <c r="G59" i="5"/>
  <c r="C28" i="5"/>
  <c r="J73" i="6"/>
  <c r="J75" i="6" s="1"/>
  <c r="J74" i="5"/>
  <c r="J76" i="5" s="1"/>
  <c r="J75" i="4"/>
  <c r="C76" i="4" l="1"/>
  <c r="C76" i="9" s="1"/>
  <c r="J75" i="9"/>
  <c r="H28" i="12"/>
  <c r="Y44" i="9"/>
  <c r="Y46" i="9"/>
  <c r="Y42" i="9"/>
  <c r="V72" i="6"/>
  <c r="V72" i="9"/>
  <c r="Y43" i="9"/>
  <c r="C29" i="9"/>
  <c r="C74" i="5"/>
  <c r="C74" i="6"/>
  <c r="C76" i="6" s="1"/>
  <c r="Y59" i="5"/>
  <c r="Y73" i="5" s="1"/>
  <c r="G73" i="5"/>
  <c r="J76" i="6"/>
  <c r="C29" i="5"/>
  <c r="G9" i="4"/>
  <c r="I9" i="4" s="1"/>
  <c r="M9" i="4" l="1"/>
  <c r="I9" i="9"/>
  <c r="G9" i="9"/>
  <c r="G9" i="5"/>
  <c r="G10" i="4"/>
  <c r="G11" i="4"/>
  <c r="G12" i="4"/>
  <c r="G30" i="4"/>
  <c r="G31" i="4"/>
  <c r="G32" i="4"/>
  <c r="G34" i="4"/>
  <c r="G35" i="4"/>
  <c r="G36" i="4"/>
  <c r="G38" i="4"/>
  <c r="G39" i="4"/>
  <c r="G40" i="4"/>
  <c r="G14" i="4"/>
  <c r="G15" i="4"/>
  <c r="M15" i="4" s="1"/>
  <c r="G16" i="4"/>
  <c r="M16" i="4" s="1"/>
  <c r="G17" i="4"/>
  <c r="G18" i="4"/>
  <c r="G19" i="4"/>
  <c r="G21" i="4"/>
  <c r="G22" i="4"/>
  <c r="G47" i="4"/>
  <c r="M47" i="4" s="1"/>
  <c r="G48" i="4"/>
  <c r="M48" i="4" s="1"/>
  <c r="G49" i="4"/>
  <c r="G51" i="4"/>
  <c r="G52" i="4"/>
  <c r="G54" i="4"/>
  <c r="G55" i="4"/>
  <c r="G56" i="4"/>
  <c r="G57" i="4"/>
  <c r="G58" i="4"/>
  <c r="G24" i="4"/>
  <c r="G25" i="4"/>
  <c r="G60" i="4"/>
  <c r="G61" i="4"/>
  <c r="G65" i="4"/>
  <c r="G67" i="4"/>
  <c r="G68" i="4"/>
  <c r="G69" i="4"/>
  <c r="G70" i="4"/>
  <c r="G71" i="4"/>
  <c r="V32" i="4"/>
  <c r="V33" i="4"/>
  <c r="V37" i="4"/>
  <c r="V38" i="4"/>
  <c r="V39" i="4"/>
  <c r="U20" i="9"/>
  <c r="Y20" i="9" s="1"/>
  <c r="U50" i="9"/>
  <c r="Y50" i="9" s="1"/>
  <c r="U53" i="9"/>
  <c r="Y53" i="9" s="1"/>
  <c r="V24" i="4"/>
  <c r="V25" i="4"/>
  <c r="V26" i="4"/>
  <c r="U26" i="9" s="1"/>
  <c r="Y26" i="9" s="1"/>
  <c r="V60" i="4"/>
  <c r="V61" i="4"/>
  <c r="V62" i="4"/>
  <c r="V63" i="4"/>
  <c r="V64" i="4"/>
  <c r="V65" i="4"/>
  <c r="V66" i="4"/>
  <c r="V67" i="4"/>
  <c r="V68" i="4"/>
  <c r="V69" i="4"/>
  <c r="V70" i="4"/>
  <c r="V71" i="4"/>
  <c r="V9" i="4"/>
  <c r="V10" i="4"/>
  <c r="V11" i="4"/>
  <c r="V12" i="4"/>
  <c r="U41" i="4"/>
  <c r="R59" i="4"/>
  <c r="S59" i="4"/>
  <c r="T59" i="4"/>
  <c r="U59" i="4"/>
  <c r="Y59" i="4"/>
  <c r="U33" i="9" l="1"/>
  <c r="Y33" i="9" s="1"/>
  <c r="W33" i="4"/>
  <c r="X33" i="4"/>
  <c r="W38" i="4"/>
  <c r="X38" i="4"/>
  <c r="U37" i="9"/>
  <c r="Y37" i="9" s="1"/>
  <c r="X37" i="4"/>
  <c r="W37" i="4"/>
  <c r="X32" i="4"/>
  <c r="W32" i="4"/>
  <c r="W39" i="4"/>
  <c r="X39" i="4"/>
  <c r="G71" i="9"/>
  <c r="M71" i="4"/>
  <c r="G35" i="9"/>
  <c r="M35" i="4"/>
  <c r="G65" i="9"/>
  <c r="M65" i="4"/>
  <c r="G55" i="9"/>
  <c r="M55" i="4"/>
  <c r="G21" i="9"/>
  <c r="M21" i="4"/>
  <c r="G39" i="9"/>
  <c r="M39" i="4"/>
  <c r="G61" i="9"/>
  <c r="M61" i="4"/>
  <c r="G54" i="9"/>
  <c r="M54" i="4"/>
  <c r="G19" i="9"/>
  <c r="M19" i="4"/>
  <c r="G38" i="9"/>
  <c r="M38" i="4"/>
  <c r="G60" i="9"/>
  <c r="M60" i="4"/>
  <c r="G52" i="9"/>
  <c r="M52" i="4"/>
  <c r="G18" i="9"/>
  <c r="M18" i="4"/>
  <c r="G36" i="9"/>
  <c r="M36" i="4"/>
  <c r="G17" i="9"/>
  <c r="M17" i="4"/>
  <c r="G70" i="9"/>
  <c r="M70" i="4"/>
  <c r="G49" i="9"/>
  <c r="Y49" i="9" s="1"/>
  <c r="M49" i="4"/>
  <c r="G69" i="9"/>
  <c r="M69" i="4"/>
  <c r="G58" i="9"/>
  <c r="M58" i="4"/>
  <c r="G32" i="9"/>
  <c r="M32" i="4"/>
  <c r="G25" i="9"/>
  <c r="M25" i="4"/>
  <c r="G68" i="9"/>
  <c r="M68" i="4"/>
  <c r="G57" i="9"/>
  <c r="M57" i="4"/>
  <c r="G14" i="9"/>
  <c r="M14" i="4"/>
  <c r="G31" i="9"/>
  <c r="M31" i="4"/>
  <c r="G51" i="9"/>
  <c r="M51" i="4"/>
  <c r="G24" i="9"/>
  <c r="M24" i="4"/>
  <c r="G34" i="9"/>
  <c r="M34" i="4"/>
  <c r="G67" i="9"/>
  <c r="M67" i="4"/>
  <c r="G56" i="9"/>
  <c r="M56" i="4"/>
  <c r="G22" i="9"/>
  <c r="M22" i="4"/>
  <c r="G40" i="9"/>
  <c r="M40" i="4"/>
  <c r="G30" i="9"/>
  <c r="M30" i="4"/>
  <c r="G10" i="9"/>
  <c r="M10" i="4"/>
  <c r="G12" i="9"/>
  <c r="M12" i="4"/>
  <c r="G11" i="9"/>
  <c r="M11" i="4"/>
  <c r="U60" i="6"/>
  <c r="U60" i="9"/>
  <c r="U70" i="6"/>
  <c r="U70" i="9"/>
  <c r="U68" i="6"/>
  <c r="U68" i="9"/>
  <c r="U64" i="6"/>
  <c r="U64" i="9"/>
  <c r="U71" i="6"/>
  <c r="U71" i="9"/>
  <c r="U67" i="6"/>
  <c r="U67" i="9"/>
  <c r="U63" i="6"/>
  <c r="U63" i="9"/>
  <c r="U66" i="6"/>
  <c r="U66" i="9"/>
  <c r="U62" i="6"/>
  <c r="U62" i="9"/>
  <c r="P72" i="6"/>
  <c r="P72" i="9"/>
  <c r="U69" i="6"/>
  <c r="U69" i="9"/>
  <c r="U65" i="6"/>
  <c r="U65" i="9"/>
  <c r="U61" i="6"/>
  <c r="U61" i="9"/>
  <c r="X59" i="6"/>
  <c r="X59" i="9"/>
  <c r="T59" i="6"/>
  <c r="T59" i="9"/>
  <c r="P59" i="6"/>
  <c r="P59" i="9"/>
  <c r="R59" i="6"/>
  <c r="R59" i="9"/>
  <c r="U58" i="6"/>
  <c r="U58" i="9"/>
  <c r="U54" i="6"/>
  <c r="U54" i="9"/>
  <c r="H11" i="12" s="1"/>
  <c r="Z47" i="4"/>
  <c r="Y47" i="6" s="1"/>
  <c r="G47" i="9"/>
  <c r="Y47" i="9" s="1"/>
  <c r="Q59" i="6"/>
  <c r="Q59" i="9"/>
  <c r="U57" i="6"/>
  <c r="U57" i="9"/>
  <c r="W59" i="6"/>
  <c r="W59" i="9"/>
  <c r="U56" i="6"/>
  <c r="U56" i="9"/>
  <c r="U52" i="6"/>
  <c r="U52" i="9"/>
  <c r="S59" i="6"/>
  <c r="S59" i="9"/>
  <c r="V59" i="6"/>
  <c r="V59" i="9"/>
  <c r="U55" i="6"/>
  <c r="U55" i="9"/>
  <c r="U51" i="6"/>
  <c r="U51" i="9"/>
  <c r="Z48" i="4"/>
  <c r="Y48" i="6" s="1"/>
  <c r="G48" i="9"/>
  <c r="Y48" i="9" s="1"/>
  <c r="T41" i="6"/>
  <c r="T41" i="9"/>
  <c r="U32" i="6"/>
  <c r="U32" i="9"/>
  <c r="U38" i="6"/>
  <c r="U38" i="9"/>
  <c r="U34" i="6"/>
  <c r="U34" i="9"/>
  <c r="U40" i="6"/>
  <c r="U40" i="9"/>
  <c r="U36" i="6"/>
  <c r="U36" i="9"/>
  <c r="U31" i="6"/>
  <c r="U31" i="9"/>
  <c r="U39" i="6"/>
  <c r="U39" i="9"/>
  <c r="U35" i="6"/>
  <c r="U35" i="9"/>
  <c r="U30" i="6"/>
  <c r="U30" i="9"/>
  <c r="U25" i="5"/>
  <c r="U25" i="9"/>
  <c r="U24" i="5"/>
  <c r="U24" i="9"/>
  <c r="U18" i="5"/>
  <c r="U18" i="9"/>
  <c r="U15" i="5"/>
  <c r="U15" i="9"/>
  <c r="U22" i="5"/>
  <c r="U22" i="9"/>
  <c r="U14" i="5"/>
  <c r="U14" i="9"/>
  <c r="U21" i="5"/>
  <c r="U21" i="9"/>
  <c r="U17" i="5"/>
  <c r="U17" i="9"/>
  <c r="H13" i="8"/>
  <c r="G16" i="9"/>
  <c r="U19" i="5"/>
  <c r="U19" i="9"/>
  <c r="U16" i="5"/>
  <c r="U16" i="9"/>
  <c r="H12" i="8"/>
  <c r="G15" i="9"/>
  <c r="Z9" i="4"/>
  <c r="Y9" i="5" s="1"/>
  <c r="U9" i="9"/>
  <c r="U12" i="5"/>
  <c r="U12" i="9"/>
  <c r="U11" i="5"/>
  <c r="U11" i="9"/>
  <c r="U10" i="5"/>
  <c r="U10" i="9"/>
  <c r="G10" i="5"/>
  <c r="Z10" i="4"/>
  <c r="Y10" i="5" s="1"/>
  <c r="G11" i="5"/>
  <c r="Z11" i="4"/>
  <c r="Y11" i="5" s="1"/>
  <c r="G12" i="5"/>
  <c r="Z12" i="4"/>
  <c r="Y12" i="5" s="1"/>
  <c r="G18" i="5"/>
  <c r="Z18" i="4"/>
  <c r="Y18" i="5" s="1"/>
  <c r="G17" i="5"/>
  <c r="Z17" i="4"/>
  <c r="Y17" i="5" s="1"/>
  <c r="G22" i="5"/>
  <c r="Z22" i="4"/>
  <c r="Y22" i="5" s="1"/>
  <c r="G21" i="5"/>
  <c r="Z21" i="4"/>
  <c r="Y21" i="5" s="1"/>
  <c r="U20" i="5"/>
  <c r="Z20" i="4"/>
  <c r="Y20" i="5" s="1"/>
  <c r="G16" i="5"/>
  <c r="Z16" i="4"/>
  <c r="Y16" i="5" s="1"/>
  <c r="G19" i="5"/>
  <c r="Z19" i="4"/>
  <c r="Y19" i="5" s="1"/>
  <c r="G15" i="5"/>
  <c r="Y15" i="5"/>
  <c r="G14" i="5"/>
  <c r="Z14" i="4"/>
  <c r="Y14" i="5" s="1"/>
  <c r="G25" i="5"/>
  <c r="Z25" i="4"/>
  <c r="Y25" i="5" s="1"/>
  <c r="U26" i="5"/>
  <c r="Z26" i="4"/>
  <c r="Y26" i="5" s="1"/>
  <c r="G24" i="5"/>
  <c r="Z24" i="4"/>
  <c r="Y24" i="5" s="1"/>
  <c r="G40" i="6"/>
  <c r="Z40" i="4"/>
  <c r="Y40" i="6" s="1"/>
  <c r="G30" i="6"/>
  <c r="Z30" i="4"/>
  <c r="Y30" i="6" s="1"/>
  <c r="G39" i="6"/>
  <c r="Z39" i="4"/>
  <c r="Y39" i="6" s="1"/>
  <c r="G38" i="6"/>
  <c r="Z38" i="4"/>
  <c r="Y38" i="6" s="1"/>
  <c r="G34" i="6"/>
  <c r="Z34" i="4"/>
  <c r="Y34" i="6" s="1"/>
  <c r="G36" i="6"/>
  <c r="Z36" i="4"/>
  <c r="Y36" i="6" s="1"/>
  <c r="U37" i="6"/>
  <c r="Z37" i="4"/>
  <c r="Y37" i="6" s="1"/>
  <c r="G32" i="6"/>
  <c r="Z32" i="4"/>
  <c r="Y32" i="6" s="1"/>
  <c r="G35" i="6"/>
  <c r="Z35" i="4"/>
  <c r="Y35" i="6" s="1"/>
  <c r="U33" i="6"/>
  <c r="Z33" i="4"/>
  <c r="Y33" i="6" s="1"/>
  <c r="G31" i="6"/>
  <c r="Z31" i="4"/>
  <c r="Y31" i="6" s="1"/>
  <c r="G56" i="6"/>
  <c r="Z56" i="4"/>
  <c r="Y56" i="6" s="1"/>
  <c r="G55" i="6"/>
  <c r="Z55" i="4"/>
  <c r="Y55" i="6" s="1"/>
  <c r="G52" i="6"/>
  <c r="Z52" i="4"/>
  <c r="Y52" i="6" s="1"/>
  <c r="U53" i="6"/>
  <c r="Z53" i="4"/>
  <c r="Y53" i="6" s="1"/>
  <c r="G49" i="6"/>
  <c r="Z49" i="4"/>
  <c r="Y49" i="6" s="1"/>
  <c r="G54" i="6"/>
  <c r="Z54" i="4"/>
  <c r="Y54" i="6" s="1"/>
  <c r="G58" i="6"/>
  <c r="Z58" i="4"/>
  <c r="Y58" i="6" s="1"/>
  <c r="G51" i="6"/>
  <c r="Z51" i="4"/>
  <c r="Y51" i="6" s="1"/>
  <c r="U50" i="6"/>
  <c r="Z50" i="4"/>
  <c r="Y50" i="6" s="1"/>
  <c r="G57" i="6"/>
  <c r="Z57" i="4"/>
  <c r="Y57" i="6" s="1"/>
  <c r="G67" i="6"/>
  <c r="Z67" i="4"/>
  <c r="Y67" i="6" s="1"/>
  <c r="G65" i="6"/>
  <c r="Z65" i="4"/>
  <c r="Y65" i="6" s="1"/>
  <c r="G61" i="6"/>
  <c r="Z61" i="4"/>
  <c r="Y61" i="6" s="1"/>
  <c r="G60" i="6"/>
  <c r="Z60" i="4"/>
  <c r="Y60" i="6" s="1"/>
  <c r="G70" i="6"/>
  <c r="Z70" i="4"/>
  <c r="Y70" i="6" s="1"/>
  <c r="G69" i="6"/>
  <c r="Z69" i="4"/>
  <c r="G71" i="6"/>
  <c r="Z71" i="4"/>
  <c r="Y71" i="6" s="1"/>
  <c r="G68" i="6"/>
  <c r="Z68" i="4"/>
  <c r="Y68" i="6" s="1"/>
  <c r="U9" i="5"/>
  <c r="G48" i="6"/>
  <c r="G47" i="6"/>
  <c r="H26" i="5"/>
  <c r="C76" i="5"/>
  <c r="H37" i="6"/>
  <c r="H33" i="6"/>
  <c r="H50" i="6"/>
  <c r="H14" i="5"/>
  <c r="H53" i="6"/>
  <c r="H45" i="6"/>
  <c r="H20" i="5"/>
  <c r="U72" i="4"/>
  <c r="R27" i="4"/>
  <c r="E59" i="4"/>
  <c r="F59" i="4"/>
  <c r="F25" i="12" s="1"/>
  <c r="S23" i="4"/>
  <c r="T23" i="4"/>
  <c r="U23" i="4"/>
  <c r="R23" i="4"/>
  <c r="R41" i="4"/>
  <c r="S41" i="4"/>
  <c r="T41" i="4"/>
  <c r="E41" i="4"/>
  <c r="E24" i="12" s="1"/>
  <c r="F41" i="4"/>
  <c r="F24" i="12" s="1"/>
  <c r="D41" i="4"/>
  <c r="D24" i="12" s="1"/>
  <c r="S13" i="4"/>
  <c r="T13" i="4"/>
  <c r="U13" i="4"/>
  <c r="R13" i="4"/>
  <c r="D13" i="4"/>
  <c r="D20" i="12" s="1"/>
  <c r="E23" i="4"/>
  <c r="E21" i="12" s="1"/>
  <c r="F23" i="4"/>
  <c r="F21" i="12" s="1"/>
  <c r="D23" i="4"/>
  <c r="D21" i="12" s="1"/>
  <c r="E13" i="4"/>
  <c r="E20" i="12" s="1"/>
  <c r="F13" i="4"/>
  <c r="V41" i="6" l="1"/>
  <c r="Y30" i="9"/>
  <c r="V33" i="9"/>
  <c r="V33" i="6"/>
  <c r="V37" i="9"/>
  <c r="V37" i="6"/>
  <c r="W37" i="9"/>
  <c r="W37" i="6"/>
  <c r="V39" i="9"/>
  <c r="V39" i="6"/>
  <c r="W33" i="9"/>
  <c r="W33" i="6"/>
  <c r="W38" i="9"/>
  <c r="W38" i="6"/>
  <c r="V38" i="9"/>
  <c r="V38" i="6"/>
  <c r="W39" i="9"/>
  <c r="W39" i="6"/>
  <c r="V32" i="9"/>
  <c r="V32" i="6"/>
  <c r="W32" i="9"/>
  <c r="W32" i="6"/>
  <c r="F13" i="9"/>
  <c r="F20" i="12"/>
  <c r="E59" i="9"/>
  <c r="E25" i="12"/>
  <c r="Y58" i="9"/>
  <c r="Y25" i="9"/>
  <c r="Y51" i="9"/>
  <c r="Y36" i="9"/>
  <c r="H7" i="12"/>
  <c r="Y21" i="9"/>
  <c r="Y18" i="9"/>
  <c r="Y9" i="9"/>
  <c r="H5" i="12"/>
  <c r="Y35" i="9"/>
  <c r="Y40" i="9"/>
  <c r="Y38" i="9"/>
  <c r="Y10" i="9"/>
  <c r="Y67" i="9"/>
  <c r="Y70" i="9"/>
  <c r="Y71" i="9"/>
  <c r="Y52" i="9"/>
  <c r="Y55" i="9"/>
  <c r="Y31" i="9"/>
  <c r="Y32" i="9"/>
  <c r="Y22" i="9"/>
  <c r="Y65" i="9"/>
  <c r="Y19" i="9"/>
  <c r="Y14" i="9"/>
  <c r="Y24" i="9"/>
  <c r="Y39" i="9"/>
  <c r="Y34" i="9"/>
  <c r="Y54" i="9"/>
  <c r="Y69" i="9"/>
  <c r="Y68" i="9"/>
  <c r="Y57" i="9"/>
  <c r="Y17" i="9"/>
  <c r="Y61" i="9"/>
  <c r="Y60" i="9"/>
  <c r="Y56" i="9"/>
  <c r="Y11" i="9"/>
  <c r="Y12" i="9"/>
  <c r="H13" i="4"/>
  <c r="I10" i="8" s="1"/>
  <c r="J10" i="8" s="1"/>
  <c r="Y15" i="9"/>
  <c r="Y16" i="9"/>
  <c r="T72" i="6"/>
  <c r="T72" i="9"/>
  <c r="F59" i="6"/>
  <c r="F59" i="9"/>
  <c r="U59" i="6"/>
  <c r="U59" i="9"/>
  <c r="D41" i="9"/>
  <c r="H41" i="4"/>
  <c r="H41" i="9" s="1"/>
  <c r="S41" i="6"/>
  <c r="S41" i="9"/>
  <c r="V41" i="9"/>
  <c r="F41" i="6"/>
  <c r="F41" i="9"/>
  <c r="W41" i="6"/>
  <c r="W41" i="9"/>
  <c r="P41" i="6"/>
  <c r="P41" i="9"/>
  <c r="R41" i="6"/>
  <c r="R41" i="9"/>
  <c r="E41" i="6"/>
  <c r="E41" i="9"/>
  <c r="Q41" i="6"/>
  <c r="Q41" i="9"/>
  <c r="P27" i="5"/>
  <c r="P27" i="9"/>
  <c r="Q27" i="5"/>
  <c r="Q27" i="9"/>
  <c r="V27" i="5"/>
  <c r="V27" i="9"/>
  <c r="Q23" i="5"/>
  <c r="Q23" i="9"/>
  <c r="V23" i="5"/>
  <c r="V23" i="9"/>
  <c r="F23" i="5"/>
  <c r="F23" i="9"/>
  <c r="D23" i="9"/>
  <c r="H23" i="4"/>
  <c r="H23" i="9" s="1"/>
  <c r="T23" i="5"/>
  <c r="T23" i="9"/>
  <c r="W23" i="5"/>
  <c r="W23" i="9"/>
  <c r="S23" i="5"/>
  <c r="S23" i="9"/>
  <c r="E23" i="5"/>
  <c r="E23" i="9"/>
  <c r="P23" i="5"/>
  <c r="P23" i="9"/>
  <c r="R23" i="5"/>
  <c r="R23" i="9"/>
  <c r="V13" i="5"/>
  <c r="V13" i="9"/>
  <c r="R13" i="5"/>
  <c r="R13" i="9"/>
  <c r="P13" i="5"/>
  <c r="P13" i="9"/>
  <c r="Q13" i="5"/>
  <c r="Q13" i="9"/>
  <c r="U13" i="5"/>
  <c r="U13" i="9"/>
  <c r="T13" i="5"/>
  <c r="T13" i="9"/>
  <c r="E13" i="5"/>
  <c r="E13" i="9"/>
  <c r="D13" i="9"/>
  <c r="S13" i="5"/>
  <c r="S13" i="9"/>
  <c r="Y69" i="6"/>
  <c r="D23" i="5"/>
  <c r="D13" i="5"/>
  <c r="D41" i="6"/>
  <c r="E59" i="6"/>
  <c r="H59" i="4"/>
  <c r="H59" i="9" s="1"/>
  <c r="H31" i="6"/>
  <c r="I31" i="4"/>
  <c r="H51" i="6"/>
  <c r="I51" i="4"/>
  <c r="H39" i="6"/>
  <c r="I39" i="4"/>
  <c r="H47" i="6"/>
  <c r="I47" i="4"/>
  <c r="H54" i="6"/>
  <c r="I54" i="4"/>
  <c r="H55" i="6"/>
  <c r="I55" i="4"/>
  <c r="H68" i="6"/>
  <c r="I68" i="4"/>
  <c r="H67" i="6"/>
  <c r="I67" i="4"/>
  <c r="H44" i="6"/>
  <c r="I44" i="4"/>
  <c r="H60" i="6"/>
  <c r="I60" i="4"/>
  <c r="H70" i="6"/>
  <c r="I70" i="4"/>
  <c r="H71" i="6"/>
  <c r="I71" i="4"/>
  <c r="H52" i="6"/>
  <c r="I52" i="4"/>
  <c r="H65" i="6"/>
  <c r="I65" i="4"/>
  <c r="H38" i="6"/>
  <c r="I38" i="4"/>
  <c r="H42" i="6"/>
  <c r="I42" i="4"/>
  <c r="H61" i="6"/>
  <c r="I61" i="4"/>
  <c r="H69" i="6"/>
  <c r="I69" i="4"/>
  <c r="H49" i="6"/>
  <c r="I49" i="4"/>
  <c r="H43" i="6"/>
  <c r="I43" i="4"/>
  <c r="H36" i="6"/>
  <c r="I36" i="4"/>
  <c r="H35" i="6"/>
  <c r="I35" i="4"/>
  <c r="H58" i="6"/>
  <c r="I58" i="4"/>
  <c r="H40" i="6"/>
  <c r="I40" i="4"/>
  <c r="H48" i="6"/>
  <c r="I48" i="4"/>
  <c r="H56" i="6"/>
  <c r="I56" i="4"/>
  <c r="H32" i="6"/>
  <c r="I32" i="4"/>
  <c r="H34" i="6"/>
  <c r="I34" i="4"/>
  <c r="H46" i="6"/>
  <c r="I46" i="4"/>
  <c r="H57" i="6"/>
  <c r="I57" i="4"/>
  <c r="H30" i="6"/>
  <c r="I30" i="4"/>
  <c r="H17" i="5"/>
  <c r="I17" i="4"/>
  <c r="I14" i="4"/>
  <c r="H24" i="5"/>
  <c r="I24" i="4"/>
  <c r="H11" i="5"/>
  <c r="H22" i="5"/>
  <c r="I22" i="4"/>
  <c r="H25" i="5"/>
  <c r="I25" i="4"/>
  <c r="H21" i="5"/>
  <c r="I21" i="4"/>
  <c r="H16" i="5"/>
  <c r="I16" i="4"/>
  <c r="H12" i="5"/>
  <c r="I12" i="4"/>
  <c r="H15" i="5"/>
  <c r="I15" i="4"/>
  <c r="H19" i="5"/>
  <c r="I19" i="4"/>
  <c r="H10" i="5"/>
  <c r="I10" i="4"/>
  <c r="H18" i="5"/>
  <c r="I18" i="4"/>
  <c r="F13" i="5"/>
  <c r="Q28" i="4"/>
  <c r="G59" i="4"/>
  <c r="G25" i="12" s="1"/>
  <c r="G23" i="4"/>
  <c r="G13" i="4"/>
  <c r="G41" i="4"/>
  <c r="Q73" i="4"/>
  <c r="P73" i="9" s="1"/>
  <c r="C75" i="4"/>
  <c r="C28" i="12" s="1"/>
  <c r="U73" i="4"/>
  <c r="R28" i="4"/>
  <c r="D28" i="4"/>
  <c r="X63" i="4"/>
  <c r="I16" i="8" l="1"/>
  <c r="J16" i="8" s="1"/>
  <c r="L16" i="8" s="1"/>
  <c r="K16" i="8" s="1"/>
  <c r="M41" i="4"/>
  <c r="I24" i="12" s="1"/>
  <c r="G24" i="12"/>
  <c r="D29" i="4"/>
  <c r="D23" i="12"/>
  <c r="M13" i="4"/>
  <c r="G20" i="12"/>
  <c r="M23" i="4"/>
  <c r="G21" i="12"/>
  <c r="H13" i="9"/>
  <c r="G59" i="9"/>
  <c r="Y59" i="9" s="1"/>
  <c r="M59" i="4"/>
  <c r="I25" i="12" s="1"/>
  <c r="Z13" i="4"/>
  <c r="Y13" i="5" s="1"/>
  <c r="W63" i="6"/>
  <c r="W63" i="9"/>
  <c r="I69" i="6"/>
  <c r="I69" i="9"/>
  <c r="I65" i="6"/>
  <c r="I65" i="9"/>
  <c r="I71" i="6"/>
  <c r="I71" i="9"/>
  <c r="I60" i="6"/>
  <c r="I60" i="9"/>
  <c r="I67" i="6"/>
  <c r="I67" i="9"/>
  <c r="I61" i="6"/>
  <c r="I61" i="9"/>
  <c r="I70" i="6"/>
  <c r="I70" i="9"/>
  <c r="I68" i="6"/>
  <c r="I68" i="9"/>
  <c r="I46" i="6"/>
  <c r="I46" i="9"/>
  <c r="I48" i="6"/>
  <c r="I48" i="9"/>
  <c r="I58" i="6"/>
  <c r="I58" i="9"/>
  <c r="I49" i="6"/>
  <c r="I49" i="9"/>
  <c r="I52" i="6"/>
  <c r="I52" i="9"/>
  <c r="I44" i="6"/>
  <c r="I44" i="9"/>
  <c r="I54" i="6"/>
  <c r="I54" i="9"/>
  <c r="I57" i="6"/>
  <c r="I57" i="9"/>
  <c r="I56" i="6"/>
  <c r="I56" i="9"/>
  <c r="I43" i="6"/>
  <c r="I43" i="9"/>
  <c r="I42" i="6"/>
  <c r="I42" i="9"/>
  <c r="I55" i="6"/>
  <c r="I55" i="9"/>
  <c r="I47" i="6"/>
  <c r="I47" i="9"/>
  <c r="I51" i="6"/>
  <c r="I51" i="9"/>
  <c r="I30" i="6"/>
  <c r="I30" i="9"/>
  <c r="I32" i="6"/>
  <c r="I32" i="9"/>
  <c r="I36" i="6"/>
  <c r="I36" i="9"/>
  <c r="I38" i="6"/>
  <c r="I38" i="9"/>
  <c r="I39" i="6"/>
  <c r="I39" i="9"/>
  <c r="I31" i="6"/>
  <c r="I31" i="9"/>
  <c r="H16" i="8"/>
  <c r="G41" i="9"/>
  <c r="U41" i="6"/>
  <c r="U41" i="9"/>
  <c r="T73" i="6"/>
  <c r="T75" i="6" s="1"/>
  <c r="T73" i="9"/>
  <c r="I34" i="6"/>
  <c r="I34" i="9"/>
  <c r="I40" i="6"/>
  <c r="I40" i="9"/>
  <c r="I35" i="6"/>
  <c r="I35" i="9"/>
  <c r="I25" i="5"/>
  <c r="I25" i="9"/>
  <c r="I24" i="5"/>
  <c r="I24" i="9"/>
  <c r="I15" i="5"/>
  <c r="I15" i="9"/>
  <c r="I16" i="5"/>
  <c r="I16" i="9"/>
  <c r="I14" i="5"/>
  <c r="I14" i="9"/>
  <c r="U23" i="5"/>
  <c r="U23" i="9"/>
  <c r="I17" i="5"/>
  <c r="I17" i="9"/>
  <c r="G23" i="9"/>
  <c r="I18" i="5"/>
  <c r="I18" i="9"/>
  <c r="I19" i="5"/>
  <c r="I19" i="9"/>
  <c r="I21" i="5"/>
  <c r="I21" i="9"/>
  <c r="I22" i="5"/>
  <c r="I22" i="9"/>
  <c r="I11" i="8"/>
  <c r="J11" i="8" s="1"/>
  <c r="L11" i="8" s="1"/>
  <c r="K11" i="8" s="1"/>
  <c r="C75" i="5"/>
  <c r="C75" i="9"/>
  <c r="G13" i="9"/>
  <c r="Y13" i="9" s="1"/>
  <c r="P28" i="5"/>
  <c r="P75" i="5" s="1"/>
  <c r="P28" i="9"/>
  <c r="Q28" i="5"/>
  <c r="Q75" i="5" s="1"/>
  <c r="Q28" i="9"/>
  <c r="V28" i="5"/>
  <c r="V75" i="5" s="1"/>
  <c r="V28" i="9"/>
  <c r="I10" i="5"/>
  <c r="I10" i="9"/>
  <c r="I11" i="5"/>
  <c r="I11" i="9"/>
  <c r="D28" i="9"/>
  <c r="W13" i="5"/>
  <c r="W13" i="9"/>
  <c r="I12" i="5"/>
  <c r="I12" i="9"/>
  <c r="Z59" i="4"/>
  <c r="Y59" i="6" s="1"/>
  <c r="H21" i="8"/>
  <c r="G23" i="5"/>
  <c r="Z23" i="4"/>
  <c r="Y23" i="5" s="1"/>
  <c r="G41" i="6"/>
  <c r="Z41" i="4"/>
  <c r="G59" i="6"/>
  <c r="Q75" i="4"/>
  <c r="P75" i="9" s="1"/>
  <c r="P73" i="6"/>
  <c r="P75" i="6" s="1"/>
  <c r="D28" i="5"/>
  <c r="D75" i="5" s="1"/>
  <c r="G13" i="5"/>
  <c r="Y41" i="6" l="1"/>
  <c r="Y23" i="9"/>
  <c r="Y41" i="9"/>
  <c r="D29" i="5"/>
  <c r="D29" i="9"/>
  <c r="D74" i="5"/>
  <c r="D76" i="5" l="1"/>
  <c r="Y27" i="4"/>
  <c r="Y72" i="4"/>
  <c r="X72" i="6" l="1"/>
  <c r="X72" i="9"/>
  <c r="X27" i="5"/>
  <c r="X27" i="9"/>
  <c r="I13" i="4"/>
  <c r="I13" i="9" s="1"/>
  <c r="L10" i="8"/>
  <c r="K10" i="8" s="1"/>
  <c r="F66" i="4"/>
  <c r="E66" i="4"/>
  <c r="F64" i="4"/>
  <c r="E64" i="4"/>
  <c r="D64" i="4"/>
  <c r="F63" i="4"/>
  <c r="E63" i="4"/>
  <c r="D63" i="4"/>
  <c r="X64" i="4"/>
  <c r="X62" i="4"/>
  <c r="F62" i="4"/>
  <c r="E62" i="4"/>
  <c r="F66" i="9" l="1"/>
  <c r="F66" i="6"/>
  <c r="D63" i="9"/>
  <c r="H63" i="4"/>
  <c r="H63" i="9" s="1"/>
  <c r="D63" i="6"/>
  <c r="L63" i="4"/>
  <c r="E63" i="9"/>
  <c r="E63" i="6"/>
  <c r="F63" i="9"/>
  <c r="F63" i="6"/>
  <c r="D64" i="9"/>
  <c r="H64" i="4"/>
  <c r="H64" i="9" s="1"/>
  <c r="D64" i="6"/>
  <c r="L64" i="4"/>
  <c r="E62" i="9"/>
  <c r="H62" i="4"/>
  <c r="H62" i="9" s="1"/>
  <c r="E62" i="6"/>
  <c r="L62" i="4"/>
  <c r="E64" i="9"/>
  <c r="E64" i="6"/>
  <c r="F62" i="9"/>
  <c r="F62" i="6"/>
  <c r="F64" i="9"/>
  <c r="F64" i="6"/>
  <c r="E66" i="9"/>
  <c r="H66" i="4"/>
  <c r="H66" i="9" s="1"/>
  <c r="E66" i="6"/>
  <c r="L66" i="4"/>
  <c r="W62" i="6"/>
  <c r="W62" i="9"/>
  <c r="W64" i="6"/>
  <c r="W64" i="9"/>
  <c r="I21" i="8"/>
  <c r="J21" i="8" s="1"/>
  <c r="L21" i="8" s="1"/>
  <c r="K21" i="8" s="1"/>
  <c r="G66" i="4"/>
  <c r="M66" i="4" s="1"/>
  <c r="D72" i="4"/>
  <c r="G63" i="4"/>
  <c r="M63" i="4" s="1"/>
  <c r="E72" i="4"/>
  <c r="E26" i="12" s="1"/>
  <c r="G62" i="4"/>
  <c r="M62" i="4" s="1"/>
  <c r="G64" i="4"/>
  <c r="M64" i="4" s="1"/>
  <c r="F72" i="4"/>
  <c r="F26" i="12" s="1"/>
  <c r="D72" i="9" l="1"/>
  <c r="D26" i="12"/>
  <c r="L63" i="6"/>
  <c r="L63" i="9"/>
  <c r="L62" i="9"/>
  <c r="L62" i="6"/>
  <c r="L72" i="4"/>
  <c r="J26" i="12" s="1"/>
  <c r="L64" i="9"/>
  <c r="L64" i="6"/>
  <c r="L66" i="9"/>
  <c r="L66" i="6"/>
  <c r="Z62" i="4"/>
  <c r="Y62" i="6" s="1"/>
  <c r="G62" i="9"/>
  <c r="Y62" i="9" s="1"/>
  <c r="Z66" i="4"/>
  <c r="Y66" i="6" s="1"/>
  <c r="G66" i="9"/>
  <c r="Y66" i="9" s="1"/>
  <c r="F72" i="6"/>
  <c r="F72" i="9"/>
  <c r="E72" i="6"/>
  <c r="E72" i="9"/>
  <c r="Z63" i="4"/>
  <c r="Y63" i="6" s="1"/>
  <c r="G63" i="9"/>
  <c r="Y63" i="9" s="1"/>
  <c r="W72" i="6"/>
  <c r="W72" i="9"/>
  <c r="Z64" i="4"/>
  <c r="Y64" i="6" s="1"/>
  <c r="G64" i="9"/>
  <c r="Y64" i="9" s="1"/>
  <c r="D72" i="6"/>
  <c r="H72" i="4"/>
  <c r="H72" i="9" s="1"/>
  <c r="G64" i="6"/>
  <c r="G62" i="6"/>
  <c r="G66" i="6"/>
  <c r="G63" i="6"/>
  <c r="H41" i="6"/>
  <c r="I41" i="4"/>
  <c r="H59" i="6"/>
  <c r="I59" i="4"/>
  <c r="H13" i="5"/>
  <c r="I13" i="5"/>
  <c r="H23" i="5"/>
  <c r="I23" i="4"/>
  <c r="E73" i="4"/>
  <c r="E27" i="12" s="1"/>
  <c r="F73" i="4"/>
  <c r="F27" i="12" s="1"/>
  <c r="D73" i="4"/>
  <c r="D27" i="12" s="1"/>
  <c r="G72" i="4"/>
  <c r="R72" i="4"/>
  <c r="S72" i="4"/>
  <c r="R72" i="9" s="1"/>
  <c r="T72" i="4"/>
  <c r="S72" i="9" s="1"/>
  <c r="E27" i="4"/>
  <c r="E22" i="12" s="1"/>
  <c r="F27" i="4"/>
  <c r="S27" i="4"/>
  <c r="T27" i="4"/>
  <c r="S27" i="9" s="1"/>
  <c r="U27" i="4"/>
  <c r="T27" i="9" s="1"/>
  <c r="W27" i="9"/>
  <c r="W73" i="4"/>
  <c r="V73" i="9" s="1"/>
  <c r="M72" i="4" l="1"/>
  <c r="I26" i="12" s="1"/>
  <c r="G26" i="12"/>
  <c r="F27" i="9"/>
  <c r="F22" i="12"/>
  <c r="E73" i="9"/>
  <c r="E74" i="4"/>
  <c r="D73" i="9"/>
  <c r="D74" i="4"/>
  <c r="F73" i="9"/>
  <c r="F74" i="4"/>
  <c r="L72" i="9"/>
  <c r="L72" i="6"/>
  <c r="L73" i="4"/>
  <c r="Q72" i="6"/>
  <c r="Q72" i="9"/>
  <c r="H24" i="8"/>
  <c r="G72" i="9"/>
  <c r="I59" i="6"/>
  <c r="I59" i="9"/>
  <c r="W73" i="6"/>
  <c r="W75" i="6" s="1"/>
  <c r="W73" i="9"/>
  <c r="I41" i="6"/>
  <c r="I41" i="9"/>
  <c r="R27" i="5"/>
  <c r="R27" i="9"/>
  <c r="E27" i="9"/>
  <c r="H27" i="4"/>
  <c r="H27" i="9" s="1"/>
  <c r="I23" i="5"/>
  <c r="I23" i="9"/>
  <c r="E27" i="5"/>
  <c r="U28" i="4"/>
  <c r="T28" i="9" s="1"/>
  <c r="T27" i="5"/>
  <c r="T28" i="4"/>
  <c r="S27" i="5"/>
  <c r="W27" i="5"/>
  <c r="T73" i="4"/>
  <c r="S72" i="6"/>
  <c r="S73" i="4"/>
  <c r="R72" i="6"/>
  <c r="V73" i="6"/>
  <c r="V75" i="6" s="1"/>
  <c r="F27" i="5"/>
  <c r="F28" i="4"/>
  <c r="F23" i="12" s="1"/>
  <c r="E73" i="6"/>
  <c r="E75" i="6" s="1"/>
  <c r="F73" i="6"/>
  <c r="F75" i="6" s="1"/>
  <c r="G73" i="4"/>
  <c r="G27" i="12" s="1"/>
  <c r="G72" i="6"/>
  <c r="D73" i="6"/>
  <c r="D75" i="6" s="1"/>
  <c r="D75" i="4"/>
  <c r="D28" i="12" s="1"/>
  <c r="S28" i="4"/>
  <c r="R28" i="9" s="1"/>
  <c r="U27" i="9"/>
  <c r="E28" i="4"/>
  <c r="G27" i="4"/>
  <c r="G22" i="12" s="1"/>
  <c r="R73" i="4"/>
  <c r="Q73" i="9" s="1"/>
  <c r="E29" i="4" l="1"/>
  <c r="E23" i="12"/>
  <c r="M73" i="4"/>
  <c r="I27" i="12" s="1"/>
  <c r="G74" i="4"/>
  <c r="F28" i="9"/>
  <c r="F29" i="4"/>
  <c r="G27" i="9"/>
  <c r="Y27" i="9" s="1"/>
  <c r="M27" i="4"/>
  <c r="V75" i="9"/>
  <c r="L73" i="6"/>
  <c r="L75" i="6" s="1"/>
  <c r="L73" i="9"/>
  <c r="L75" i="4"/>
  <c r="L75" i="9" s="1"/>
  <c r="I14" i="8"/>
  <c r="J14" i="8" s="1"/>
  <c r="L14" i="8" s="1"/>
  <c r="K14" i="8" s="1"/>
  <c r="Z72" i="4"/>
  <c r="U72" i="9"/>
  <c r="Y72" i="9" s="1"/>
  <c r="D74" i="6"/>
  <c r="D74" i="9"/>
  <c r="F74" i="6"/>
  <c r="F74" i="9"/>
  <c r="R73" i="6"/>
  <c r="R75" i="6" s="1"/>
  <c r="R73" i="9"/>
  <c r="S73" i="6"/>
  <c r="S75" i="6" s="1"/>
  <c r="S73" i="9"/>
  <c r="H25" i="8"/>
  <c r="G73" i="9"/>
  <c r="E74" i="6"/>
  <c r="E74" i="9"/>
  <c r="D75" i="9"/>
  <c r="W28" i="5"/>
  <c r="W75" i="5" s="1"/>
  <c r="W28" i="9"/>
  <c r="E28" i="9"/>
  <c r="H28" i="4"/>
  <c r="S28" i="5"/>
  <c r="S75" i="5" s="1"/>
  <c r="S28" i="9"/>
  <c r="Z27" i="4"/>
  <c r="I27" i="4"/>
  <c r="I27" i="9" s="1"/>
  <c r="H14" i="8"/>
  <c r="T75" i="4"/>
  <c r="S75" i="9" s="1"/>
  <c r="S75" i="4"/>
  <c r="R75" i="9" s="1"/>
  <c r="R28" i="5"/>
  <c r="R75" i="5" s="1"/>
  <c r="U27" i="5"/>
  <c r="U75" i="4"/>
  <c r="T75" i="9" s="1"/>
  <c r="T28" i="5"/>
  <c r="T75" i="5" s="1"/>
  <c r="U72" i="6"/>
  <c r="R75" i="4"/>
  <c r="Q75" i="9" s="1"/>
  <c r="Q73" i="6"/>
  <c r="Q75" i="6" s="1"/>
  <c r="G73" i="6"/>
  <c r="G75" i="6" s="1"/>
  <c r="G27" i="5"/>
  <c r="G28" i="4"/>
  <c r="G23" i="12" s="1"/>
  <c r="E28" i="5"/>
  <c r="E75" i="5" s="1"/>
  <c r="F28" i="5"/>
  <c r="F75" i="5" s="1"/>
  <c r="F75" i="4"/>
  <c r="E75" i="4"/>
  <c r="D76" i="4"/>
  <c r="D76" i="9" s="1"/>
  <c r="F75" i="9" l="1"/>
  <c r="F28" i="12"/>
  <c r="E75" i="9"/>
  <c r="E28" i="12"/>
  <c r="Y72" i="6"/>
  <c r="W75" i="9"/>
  <c r="M28" i="4"/>
  <c r="I23" i="12" s="1"/>
  <c r="G29" i="4"/>
  <c r="H28" i="9"/>
  <c r="H29" i="4"/>
  <c r="H29" i="9" s="1"/>
  <c r="E76" i="6"/>
  <c r="G74" i="6"/>
  <c r="G76" i="6" s="1"/>
  <c r="G74" i="9"/>
  <c r="U73" i="6"/>
  <c r="U75" i="6" s="1"/>
  <c r="Y75" i="6" s="1"/>
  <c r="U73" i="9"/>
  <c r="Y73" i="9" s="1"/>
  <c r="H15" i="8"/>
  <c r="G28" i="9"/>
  <c r="U28" i="5"/>
  <c r="U75" i="5" s="1"/>
  <c r="F29" i="5"/>
  <c r="F29" i="9"/>
  <c r="E29" i="5"/>
  <c r="E29" i="9"/>
  <c r="G75" i="4"/>
  <c r="Z28" i="4"/>
  <c r="Y28" i="5" s="1"/>
  <c r="Z73" i="4"/>
  <c r="D76" i="6"/>
  <c r="Y27" i="5"/>
  <c r="G28" i="5"/>
  <c r="G75" i="5" s="1"/>
  <c r="F76" i="6"/>
  <c r="E76" i="4"/>
  <c r="E76" i="9" s="1"/>
  <c r="M75" i="4" l="1"/>
  <c r="I28" i="12" s="1"/>
  <c r="G28" i="12"/>
  <c r="Y75" i="5"/>
  <c r="G29" i="9"/>
  <c r="Y29" i="9" s="1"/>
  <c r="G76" i="4"/>
  <c r="H26" i="8"/>
  <c r="G75" i="9"/>
  <c r="Y28" i="9"/>
  <c r="Y73" i="6"/>
  <c r="G29" i="5"/>
  <c r="Z29" i="4"/>
  <c r="Y29" i="5" s="1"/>
  <c r="E74" i="5"/>
  <c r="E76" i="5" s="1"/>
  <c r="F74" i="5"/>
  <c r="F76" i="5" s="1"/>
  <c r="I62" i="4"/>
  <c r="F76" i="4"/>
  <c r="F76" i="9" s="1"/>
  <c r="Y75" i="9" l="1"/>
  <c r="I62" i="6"/>
  <c r="I62" i="9"/>
  <c r="H66" i="6"/>
  <c r="I66" i="4"/>
  <c r="H63" i="6"/>
  <c r="I63" i="4"/>
  <c r="H64" i="6"/>
  <c r="I64" i="4"/>
  <c r="G74" i="5"/>
  <c r="G76" i="5" s="1"/>
  <c r="H62" i="6"/>
  <c r="G76" i="9"/>
  <c r="I66" i="6" l="1"/>
  <c r="I66" i="9"/>
  <c r="I64" i="6"/>
  <c r="I64" i="9"/>
  <c r="I63" i="6"/>
  <c r="I63" i="9"/>
  <c r="I72" i="4"/>
  <c r="I24" i="8"/>
  <c r="J24" i="8" s="1"/>
  <c r="L24" i="8" s="1"/>
  <c r="K24" i="8" s="1"/>
  <c r="H73" i="4"/>
  <c r="H72" i="6"/>
  <c r="I27" i="5"/>
  <c r="I72" i="6" l="1"/>
  <c r="I72" i="9"/>
  <c r="H74" i="9"/>
  <c r="H73" i="9"/>
  <c r="I73" i="4"/>
  <c r="I25" i="8"/>
  <c r="J25" i="8" s="1"/>
  <c r="L25" i="8" s="1"/>
  <c r="K25" i="8" s="1"/>
  <c r="H27" i="5"/>
  <c r="H73" i="6"/>
  <c r="H75" i="6" s="1"/>
  <c r="I73" i="6" l="1"/>
  <c r="I73" i="9"/>
  <c r="H74" i="6"/>
  <c r="H76" i="6" s="1"/>
  <c r="I15" i="8"/>
  <c r="J15" i="8" s="1"/>
  <c r="L15" i="8" s="1"/>
  <c r="K15" i="8" s="1"/>
  <c r="I28" i="4"/>
  <c r="H28" i="5"/>
  <c r="H75" i="5" s="1"/>
  <c r="H75" i="4"/>
  <c r="H75" i="9" s="1"/>
  <c r="I28" i="5" l="1"/>
  <c r="I28" i="9"/>
  <c r="I75" i="4"/>
  <c r="I75" i="9" s="1"/>
  <c r="I26" i="8"/>
  <c r="J26" i="8" s="1"/>
  <c r="H29" i="5"/>
  <c r="H76" i="5" s="1"/>
  <c r="H76" i="9"/>
  <c r="L26" i="8" l="1"/>
  <c r="K26" i="8" s="1"/>
  <c r="I9" i="5" l="1"/>
  <c r="H9" i="5"/>
</calcChain>
</file>

<file path=xl/comments1.xml><?xml version="1.0" encoding="utf-8"?>
<comments xmlns="http://schemas.openxmlformats.org/spreadsheetml/2006/main">
  <authors>
    <author>Cheryl Hodder</author>
  </authors>
  <commentList>
    <comment ref="D12" authorId="0">
      <text>
        <r>
          <rPr>
            <b/>
            <sz val="9"/>
            <color indexed="81"/>
            <rFont val="Tahoma"/>
            <family val="2"/>
          </rPr>
          <t>Cheryl Hodder:</t>
        </r>
        <r>
          <rPr>
            <sz val="9"/>
            <color indexed="81"/>
            <rFont val="Tahoma"/>
            <family val="2"/>
          </rPr>
          <t xml:space="preserve">
includes undercut</t>
        </r>
      </text>
    </comment>
  </commentList>
</comments>
</file>

<file path=xl/sharedStrings.xml><?xml version="1.0" encoding="utf-8"?>
<sst xmlns="http://schemas.openxmlformats.org/spreadsheetml/2006/main" count="1312" uniqueCount="247">
  <si>
    <t>SEVERITY</t>
  </si>
  <si>
    <t>L</t>
  </si>
  <si>
    <t>M</t>
  </si>
  <si>
    <t>S</t>
  </si>
  <si>
    <t>T</t>
  </si>
  <si>
    <t>VS</t>
  </si>
  <si>
    <t>Bear Lake West</t>
  </si>
  <si>
    <t>Total</t>
  </si>
  <si>
    <t>Area</t>
  </si>
  <si>
    <t>Sinclar</t>
  </si>
  <si>
    <t>Year</t>
  </si>
  <si>
    <t>Hectares</t>
  </si>
  <si>
    <t>Cable</t>
  </si>
  <si>
    <t>Conventional</t>
  </si>
  <si>
    <t>Subtotal</t>
  </si>
  <si>
    <t>BCTS</t>
  </si>
  <si>
    <t>Canfor</t>
  </si>
  <si>
    <t>Conifex</t>
  </si>
  <si>
    <t>Proposed</t>
  </si>
  <si>
    <t>Wichcika</t>
  </si>
  <si>
    <t>Parsnip</t>
  </si>
  <si>
    <t>Table</t>
  </si>
  <si>
    <t>Angusmac</t>
  </si>
  <si>
    <t>Bill'S Creek</t>
  </si>
  <si>
    <t>Kerry</t>
  </si>
  <si>
    <t>Goose</t>
  </si>
  <si>
    <t>Tacheeda</t>
  </si>
  <si>
    <t>Missinka Winton</t>
  </si>
  <si>
    <t>Missinka Lakeland</t>
  </si>
  <si>
    <t>Assumptions</t>
  </si>
  <si>
    <t>-</t>
  </si>
  <si>
    <t>This is a high-level 'snap shot' in time, using assumptions agreed to at collaborative meetings with FLNRO and licensees in the PG TSA</t>
  </si>
  <si>
    <t xml:space="preserve">More deliberate work is planned to compare and contrast Aerial Overview Survey (AOS) information and ground probes, to assess infested areas </t>
  </si>
  <si>
    <t>Further net downs may be necessary for aspatial assumptions, as these may be under-estimated considering operational constraints and stand level retention requirements</t>
  </si>
  <si>
    <t>Trap trees will continue to be utilized, particularly where areas are not proposed for harvest in the immediate future</t>
  </si>
  <si>
    <t>Hauling strategies will continue to be implemented to help mitigate further spread of the spruce beetle infestation</t>
  </si>
  <si>
    <t>Licensee Operating Area</t>
  </si>
  <si>
    <t xml:space="preserve">Subunit/Drainage </t>
  </si>
  <si>
    <t>Carp</t>
  </si>
  <si>
    <t>Action</t>
  </si>
  <si>
    <t>+</t>
  </si>
  <si>
    <t>Constrained</t>
  </si>
  <si>
    <t>NDU, Road, Other</t>
  </si>
  <si>
    <t>Rationale</t>
  </si>
  <si>
    <t>Licensee AAC Capacity</t>
  </si>
  <si>
    <t>Operating Area</t>
  </si>
  <si>
    <t>PG TSA</t>
  </si>
  <si>
    <t>Mackenzie TSA</t>
  </si>
  <si>
    <t>A18163</t>
  </si>
  <si>
    <t>A18171</t>
  </si>
  <si>
    <t>Licensee</t>
  </si>
  <si>
    <t>Stand shelf life is accepted as an average of seven years from the time the stand is over 1000 points from ground survey</t>
  </si>
  <si>
    <t>A 'check-in' is planned in summer 2017, or early winter of 2017-18, to follow up on net downs and assumptions used for this summary</t>
  </si>
  <si>
    <t>Licence</t>
  </si>
  <si>
    <t>PG</t>
  </si>
  <si>
    <t>Mackenzie</t>
  </si>
  <si>
    <t>2016-2020</t>
  </si>
  <si>
    <t>Access</t>
  </si>
  <si>
    <t>Road Access, practicality</t>
  </si>
  <si>
    <t>Chunamon</t>
  </si>
  <si>
    <t>2017-2018</t>
  </si>
  <si>
    <t>Morfee</t>
  </si>
  <si>
    <t>A15385</t>
  </si>
  <si>
    <t>A93631</t>
  </si>
  <si>
    <t>Spruce Beetle Action Plan - Omineca Region</t>
  </si>
  <si>
    <t>Reason for Constraint</t>
  </si>
  <si>
    <t>A14/A17 NDU</t>
  </si>
  <si>
    <t>DMK - Burden</t>
  </si>
  <si>
    <t>DMK - Chunamon</t>
  </si>
  <si>
    <t>DMK - Holder</t>
  </si>
  <si>
    <t>DMK - Manson</t>
  </si>
  <si>
    <t>DMK - Nation</t>
  </si>
  <si>
    <t>DMK - Ospika</t>
  </si>
  <si>
    <t>DMK - Philip Creek</t>
  </si>
  <si>
    <t>DMK - Rupert</t>
  </si>
  <si>
    <t>DPG - Herrick</t>
  </si>
  <si>
    <t>DPG - McGregor</t>
  </si>
  <si>
    <t>DPG - McLeod</t>
  </si>
  <si>
    <t>DPG - Muskeg</t>
  </si>
  <si>
    <t>DPG - Otter</t>
  </si>
  <si>
    <t>DPG - Pinkerton</t>
  </si>
  <si>
    <t>DPG - Salmon</t>
  </si>
  <si>
    <t>DPG - Stony</t>
  </si>
  <si>
    <t>DPG - TFL30</t>
  </si>
  <si>
    <t>DPG - Torpy</t>
  </si>
  <si>
    <t>DPG - Tumuch</t>
  </si>
  <si>
    <t>DPG - War</t>
  </si>
  <si>
    <t>DPG - Weedon</t>
  </si>
  <si>
    <t>DMK - Eklund</t>
  </si>
  <si>
    <t>BCTS PG</t>
  </si>
  <si>
    <t xml:space="preserve">             -  </t>
  </si>
  <si>
    <t xml:space="preserve"> 2018 - 19  </t>
  </si>
  <si>
    <t xml:space="preserve"> 2019 - 20  </t>
  </si>
  <si>
    <t xml:space="preserve"> 2017 - 18  </t>
  </si>
  <si>
    <t xml:space="preserve">                    -  </t>
  </si>
  <si>
    <t xml:space="preserve"> 2019 - 20 </t>
  </si>
  <si>
    <t xml:space="preserve"> 2021 - 22  </t>
  </si>
  <si>
    <t xml:space="preserve"> 2021 - 22 </t>
  </si>
  <si>
    <t xml:space="preserve"> 2020 - 21 </t>
  </si>
  <si>
    <t>BCTS MK</t>
  </si>
  <si>
    <t>Klawli / Gillis</t>
  </si>
  <si>
    <t xml:space="preserve"> 2020 - 22  </t>
  </si>
  <si>
    <t>Parsnip / Clearwater / Pardonet</t>
  </si>
  <si>
    <t xml:space="preserve"> 2017 - 2020 </t>
  </si>
  <si>
    <t>Phillip / Blackwater / Hwy97</t>
  </si>
  <si>
    <t xml:space="preserve"> 2017 - 2021 </t>
  </si>
  <si>
    <t>Agreements</t>
  </si>
  <si>
    <t xml:space="preserve"> 2017 - 2022 </t>
  </si>
  <si>
    <t xml:space="preserve">                   -  </t>
  </si>
  <si>
    <t>2017-23</t>
  </si>
  <si>
    <t>2017-21</t>
  </si>
  <si>
    <t>2021-23</t>
  </si>
  <si>
    <t>2016-23</t>
  </si>
  <si>
    <t>2020</t>
  </si>
  <si>
    <t>2017-19</t>
  </si>
  <si>
    <t xml:space="preserve">Roads, other, NDU </t>
  </si>
  <si>
    <t xml:space="preserve">Isolated </t>
  </si>
  <si>
    <t>Other</t>
  </si>
  <si>
    <t xml:space="preserve">Roads, other </t>
  </si>
  <si>
    <t>Roads, other</t>
  </si>
  <si>
    <t>Chuchinka</t>
  </si>
  <si>
    <t>Colburne</t>
  </si>
  <si>
    <t>Dome</t>
  </si>
  <si>
    <t>Firth</t>
  </si>
  <si>
    <t>Hominka</t>
  </si>
  <si>
    <t>Mcleod</t>
  </si>
  <si>
    <t>Missinka</t>
  </si>
  <si>
    <t>Reynolds</t>
  </si>
  <si>
    <t>Summit Lake</t>
  </si>
  <si>
    <t xml:space="preserve">Conifex </t>
  </si>
  <si>
    <t>MK TSA</t>
  </si>
  <si>
    <t>Omineca Region</t>
  </si>
  <si>
    <t xml:space="preserve"> -   </t>
  </si>
  <si>
    <t xml:space="preserve">Fieldwork indicates that the Burden beetle areas are inflated, possibly due to inclusion of 2015 polygons that weren't picked up in 2016 AOS </t>
  </si>
  <si>
    <t xml:space="preserve"> A25 </t>
  </si>
  <si>
    <t xml:space="preserve"> TFL Ogma </t>
  </si>
  <si>
    <t xml:space="preserve">Proposed landscape biodiversity areas for A25 (old forest); likely to be some operability issues as well </t>
  </si>
  <si>
    <t xml:space="preserve">Proposed landscape biodiversity areas for A25 (old forest) </t>
  </si>
  <si>
    <t>A14/A17 NDU Biodiversity; Road Access, practicality</t>
  </si>
  <si>
    <t>A40873</t>
  </si>
  <si>
    <t>A18165</t>
  </si>
  <si>
    <t>A18157</t>
  </si>
  <si>
    <t>TFL30</t>
  </si>
  <si>
    <t>A15384</t>
  </si>
  <si>
    <t xml:space="preserve"> 2020-2023 </t>
  </si>
  <si>
    <t xml:space="preserve"> 2017-2024 </t>
  </si>
  <si>
    <t xml:space="preserve"> 2018-2019 </t>
  </si>
  <si>
    <t xml:space="preserve"> 2017-2019 </t>
  </si>
  <si>
    <t xml:space="preserve"> 2018-2020 </t>
  </si>
  <si>
    <t xml:space="preserve"> 2017-2018 </t>
  </si>
  <si>
    <t xml:space="preserve"> 2017-2023 </t>
  </si>
  <si>
    <t xml:space="preserve"> 2019-2021 </t>
  </si>
  <si>
    <t>2018</t>
  </si>
  <si>
    <t xml:space="preserve"> 2017-2020 </t>
  </si>
  <si>
    <t xml:space="preserve"> 2019-2022 </t>
  </si>
  <si>
    <t>Proposed Action</t>
  </si>
  <si>
    <t>Canfor MK</t>
  </si>
  <si>
    <t>Canfor PG</t>
  </si>
  <si>
    <r>
      <t xml:space="preserve">Using the agreed to area/volume net downs per </t>
    </r>
    <r>
      <rPr>
        <i/>
        <sz val="11"/>
        <color theme="1"/>
        <rFont val="Calibri"/>
        <family val="2"/>
        <scheme val="minor"/>
      </rPr>
      <t>Omineca Spruce Beetle Outbreak Area/Volume Net Down Mackenzie and Prince George Timber Supply Areas, December 12, 2016</t>
    </r>
  </si>
  <si>
    <t>DPG - Ames</t>
  </si>
  <si>
    <t>DPG - Anzac</t>
  </si>
  <si>
    <t>DPG - Chuchinka</t>
  </si>
  <si>
    <t>DPG - Government</t>
  </si>
  <si>
    <t xml:space="preserve">              -  </t>
  </si>
  <si>
    <t>Monitor</t>
  </si>
  <si>
    <t>2017-2019</t>
  </si>
  <si>
    <t>2017-2021</t>
  </si>
  <si>
    <t>2018-2019</t>
  </si>
  <si>
    <t>Sinclar PG TSA</t>
  </si>
  <si>
    <t>Canfor PG TSA</t>
  </si>
  <si>
    <t>BCTS PG TSA</t>
  </si>
  <si>
    <t>Conifex MK TSA</t>
  </si>
  <si>
    <t>BCTS MK TSA</t>
  </si>
  <si>
    <t>Canfor MK TSA</t>
  </si>
  <si>
    <t>Omineca</t>
  </si>
  <si>
    <t>Average</t>
  </si>
  <si>
    <t>All severity</t>
  </si>
  <si>
    <t>Weighted</t>
  </si>
  <si>
    <t>Infested (ha)</t>
  </si>
  <si>
    <t>Trap Tree/Trace</t>
  </si>
  <si>
    <t>Volume (m3; weighted average)</t>
  </si>
  <si>
    <t>m3/ha</t>
  </si>
  <si>
    <t>Merged 2014-2016 Aerial Overview Survey Information</t>
  </si>
  <si>
    <t>50-100%</t>
  </si>
  <si>
    <t>30-49%</t>
  </si>
  <si>
    <t>11-29%</t>
  </si>
  <si>
    <t>1-10%</t>
  </si>
  <si>
    <t>0-1%</t>
  </si>
  <si>
    <t>Spruce Beetle Action Plan - Prince George Timber Supply Area</t>
  </si>
  <si>
    <t>Spruce Beetle Action Plan - Mackenzie Timber Supply Area</t>
  </si>
  <si>
    <t>Volume (m3; @275m3/ha)</t>
  </si>
  <si>
    <t>AOS (ha)</t>
  </si>
  <si>
    <t>Merged 2014-2016 Aerial Overview Survey (AOS) Information</t>
  </si>
  <si>
    <t>(ha)</t>
  </si>
  <si>
    <t>Area (ha)</t>
  </si>
  <si>
    <t>Steep Slope</t>
  </si>
  <si>
    <t>%</t>
  </si>
  <si>
    <t>Estimated</t>
  </si>
  <si>
    <t>Total Area AOS (ha)</t>
  </si>
  <si>
    <t>Area to Harvest (ha)</t>
  </si>
  <si>
    <t>Legal</t>
  </si>
  <si>
    <t>Economic</t>
  </si>
  <si>
    <t>Licensee by Timber Supply Area</t>
  </si>
  <si>
    <t>Area (ha) @ 7 Years</t>
  </si>
  <si>
    <t>Canfor PG District + TFL 30</t>
  </si>
  <si>
    <t>BCTS PG District</t>
  </si>
  <si>
    <t>Sinclar PG District</t>
  </si>
  <si>
    <t>PG District</t>
  </si>
  <si>
    <t>Within Omineca Region</t>
  </si>
  <si>
    <t>PG TSA + TFL 30</t>
  </si>
  <si>
    <t>A25 NDU Biodiversity</t>
  </si>
  <si>
    <t>TFL 30 OGMA</t>
  </si>
  <si>
    <t>% Area to Harvest</t>
  </si>
  <si>
    <t>/</t>
  </si>
  <si>
    <t>Total Area AOS</t>
  </si>
  <si>
    <r>
      <t>AOS - Estimated Harvest Area (ha) and Volume (m</t>
    </r>
    <r>
      <rPr>
        <b/>
        <u/>
        <vertAlign val="superscript"/>
        <sz val="11"/>
        <color theme="1"/>
        <rFont val="Calibri"/>
        <family val="2"/>
        <scheme val="minor"/>
      </rPr>
      <t>3</t>
    </r>
    <r>
      <rPr>
        <b/>
        <u/>
        <sz val="11"/>
        <color theme="1"/>
        <rFont val="Calibri"/>
        <family val="2"/>
        <scheme val="minor"/>
      </rPr>
      <t>) Summary</t>
    </r>
  </si>
  <si>
    <r>
      <t>Volume (m</t>
    </r>
    <r>
      <rPr>
        <b/>
        <i/>
        <vertAlign val="superscript"/>
        <sz val="11"/>
        <color theme="1"/>
        <rFont val="Calibri"/>
        <family val="2"/>
        <scheme val="minor"/>
      </rPr>
      <t>3</t>
    </r>
    <r>
      <rPr>
        <b/>
        <i/>
        <sz val="11"/>
        <color theme="1"/>
        <rFont val="Calibri"/>
        <family val="2"/>
        <scheme val="minor"/>
      </rPr>
      <t>; @275m</t>
    </r>
    <r>
      <rPr>
        <b/>
        <i/>
        <vertAlign val="superscript"/>
        <sz val="11"/>
        <color theme="1"/>
        <rFont val="Calibri"/>
        <family val="2"/>
        <scheme val="minor"/>
      </rPr>
      <t>3</t>
    </r>
    <r>
      <rPr>
        <b/>
        <i/>
        <sz val="11"/>
        <color theme="1"/>
        <rFont val="Calibri"/>
        <family val="2"/>
        <scheme val="minor"/>
      </rPr>
      <t>/ha)</t>
    </r>
  </si>
  <si>
    <r>
      <t>Volume (m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; @275m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/ha)</t>
    </r>
  </si>
  <si>
    <r>
      <t>AAC as Area (ha) @ 275m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/ha</t>
    </r>
  </si>
  <si>
    <t>VS,S,M,L</t>
  </si>
  <si>
    <t>Total Within Omineca Region</t>
  </si>
  <si>
    <t>Roads</t>
  </si>
  <si>
    <t>Isolated</t>
  </si>
  <si>
    <t>PG Landscape Biodiversity Order</t>
  </si>
  <si>
    <t>Total Constrained - All severity</t>
  </si>
  <si>
    <t>Estimated Average Area to Harvest (ha) (Sum VS,S,M +50%*L)</t>
  </si>
  <si>
    <t>Monitor Trap Tree/Trace (ha)</t>
  </si>
  <si>
    <t>Total Area AOS + Monitor (Trace)</t>
  </si>
  <si>
    <t>Steep Slope Area (ha)</t>
  </si>
  <si>
    <t>Conventional Area (ha)</t>
  </si>
  <si>
    <t>Total Area (ha)</t>
  </si>
  <si>
    <t>Proposed Action Year</t>
  </si>
  <si>
    <t>Estimated Area to Harvest ÷ Total Area AOS (%)</t>
  </si>
  <si>
    <t>Total Area AOS + Monitor + Constrained (ha)</t>
  </si>
  <si>
    <t>Spruce Beetle Area to Harvest (ha) Per Year (7 Years)</t>
  </si>
  <si>
    <r>
      <t>Estimated Total Spruce Beetle Volume to Harvest (m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 @275m3/ha</t>
    </r>
  </si>
  <si>
    <r>
      <t>Spruce Beetle Volume to Harvest (m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 Per Year (7 Years)</t>
    </r>
  </si>
  <si>
    <r>
      <t>Licensee AAC Capacity compared with AOS - Estimated Area (ha) and Volume (m</t>
    </r>
    <r>
      <rPr>
        <b/>
        <u/>
        <vertAlign val="superscript"/>
        <sz val="11"/>
        <color theme="1"/>
        <rFont val="Calibri"/>
        <family val="2"/>
        <scheme val="minor"/>
      </rPr>
      <t>3</t>
    </r>
    <r>
      <rPr>
        <b/>
        <u/>
        <sz val="11"/>
        <color theme="1"/>
        <rFont val="Calibri"/>
        <family val="2"/>
        <scheme val="minor"/>
      </rPr>
      <t>) Summary</t>
    </r>
  </si>
  <si>
    <t>Constrained Areas Summary (ha)</t>
  </si>
  <si>
    <r>
      <t>AAC                 (m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per Year)</t>
    </r>
  </si>
  <si>
    <t xml:space="preserve"> Legal </t>
  </si>
  <si>
    <t xml:space="preserve"> Fieldwork indicates that the Burden beetle areas are inflated, possibly due to inclusion of 2015 polygons that weren't picked up in 2016 AOS  </t>
  </si>
  <si>
    <t xml:space="preserve"> Economic </t>
  </si>
  <si>
    <t xml:space="preserve">Recreation Site; isolated; access </t>
  </si>
  <si>
    <t xml:space="preserve">Access; isolated </t>
  </si>
  <si>
    <t xml:space="preserve">Roads, isolated, practicality </t>
  </si>
  <si>
    <t>Recreation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</si>
</sst>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3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11"/>
      <color rgb="FF000000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u/>
      <vertAlign val="superscript"/>
      <sz val="11"/>
      <color theme="1"/>
      <name val="Calibri"/>
      <family val="2"/>
      <scheme val="minor"/>
    </font>
    <font>
      <b/>
      <i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1" tint="0.2499465926084170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</fills>
  <borders count="1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/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/>
      <diagonal/>
    </border>
    <border>
      <left style="thin">
        <color auto="1"/>
      </left>
      <right style="medium">
        <color auto="1"/>
      </right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thin">
        <color auto="1"/>
      </bottom>
      <diagonal/>
    </border>
    <border>
      <left/>
      <right style="medium">
        <color auto="1"/>
      </right>
      <top style="dotted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dotted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4">
    <xf numFmtId="0" fontId="0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5" fillId="8" borderId="8" applyNumberFormat="0" applyFont="0" applyAlignment="0" applyProtection="0"/>
    <xf numFmtId="0" fontId="19" fillId="0" borderId="0" applyNumberFormat="0" applyFill="0" applyBorder="0" applyAlignment="0" applyProtection="0"/>
    <xf numFmtId="0" fontId="4" fillId="0" borderId="9" applyNumberFormat="0" applyFill="0" applyAlignment="0" applyProtection="0"/>
    <xf numFmtId="0" fontId="2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0" fillId="32" borderId="0" applyNumberFormat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57">
    <xf numFmtId="0" fontId="0" fillId="0" borderId="0" xfId="0"/>
    <xf numFmtId="0" fontId="1" fillId="0" borderId="12" xfId="0" applyFont="1" applyBorder="1" applyAlignment="1">
      <alignment horizontal="center" vertical="top"/>
    </xf>
    <xf numFmtId="0" fontId="4" fillId="0" borderId="0" xfId="0" applyFont="1"/>
    <xf numFmtId="0" fontId="0" fillId="0" borderId="0" xfId="0"/>
    <xf numFmtId="0" fontId="1" fillId="0" borderId="17" xfId="0" applyFont="1" applyBorder="1" applyAlignment="1">
      <alignment horizontal="center" vertical="top"/>
    </xf>
    <xf numFmtId="0" fontId="21" fillId="0" borderId="0" xfId="0" applyFont="1"/>
    <xf numFmtId="0" fontId="22" fillId="0" borderId="0" xfId="0" applyFont="1"/>
    <xf numFmtId="0" fontId="0" fillId="0" borderId="15" xfId="0" applyBorder="1" applyAlignment="1">
      <alignment horizontal="center" vertical="center"/>
    </xf>
    <xf numFmtId="0" fontId="1" fillId="0" borderId="16" xfId="0" applyFont="1" applyBorder="1" applyAlignment="1">
      <alignment horizontal="center" vertical="top"/>
    </xf>
    <xf numFmtId="164" fontId="0" fillId="0" borderId="34" xfId="42" applyNumberFormat="1" applyFont="1" applyBorder="1" applyAlignment="1"/>
    <xf numFmtId="164" fontId="0" fillId="0" borderId="38" xfId="42" applyNumberFormat="1" applyFont="1" applyBorder="1" applyAlignment="1"/>
    <xf numFmtId="0" fontId="4" fillId="36" borderId="44" xfId="0" applyFont="1" applyFill="1" applyBorder="1" applyAlignment="1">
      <alignment horizontal="center" vertical="center"/>
    </xf>
    <xf numFmtId="0" fontId="0" fillId="0" borderId="0" xfId="0" quotePrefix="1"/>
    <xf numFmtId="0" fontId="4" fillId="0" borderId="19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/>
    </xf>
    <xf numFmtId="0" fontId="0" fillId="0" borderId="10" xfId="0" applyBorder="1"/>
    <xf numFmtId="164" fontId="2" fillId="0" borderId="57" xfId="42" applyNumberFormat="1" applyFont="1" applyBorder="1" applyAlignment="1">
      <alignment vertical="top"/>
    </xf>
    <xf numFmtId="0" fontId="2" fillId="0" borderId="55" xfId="0" applyFont="1" applyBorder="1" applyAlignment="1">
      <alignment vertical="top"/>
    </xf>
    <xf numFmtId="164" fontId="21" fillId="0" borderId="10" xfId="42" applyNumberFormat="1" applyFont="1" applyBorder="1"/>
    <xf numFmtId="164" fontId="21" fillId="0" borderId="25" xfId="42" applyNumberFormat="1" applyFont="1" applyBorder="1"/>
    <xf numFmtId="0" fontId="21" fillId="0" borderId="71" xfId="0" applyFont="1" applyBorder="1" applyAlignment="1">
      <alignment horizontal="center" vertical="center"/>
    </xf>
    <xf numFmtId="164" fontId="21" fillId="0" borderId="72" xfId="42" applyNumberFormat="1" applyFont="1" applyBorder="1"/>
    <xf numFmtId="0" fontId="0" fillId="0" borderId="0" xfId="0"/>
    <xf numFmtId="0" fontId="0" fillId="0" borderId="55" xfId="0" applyBorder="1" applyAlignment="1">
      <alignment horizontal="left" vertical="center"/>
    </xf>
    <xf numFmtId="0" fontId="0" fillId="0" borderId="17" xfId="0" applyBorder="1" applyAlignment="1"/>
    <xf numFmtId="164" fontId="0" fillId="0" borderId="74" xfId="42" applyNumberFormat="1" applyFont="1" applyBorder="1"/>
    <xf numFmtId="164" fontId="0" fillId="0" borderId="49" xfId="42" applyNumberFormat="1" applyFont="1" applyBorder="1"/>
    <xf numFmtId="164" fontId="0" fillId="0" borderId="23" xfId="42" applyNumberFormat="1" applyFont="1" applyBorder="1" applyAlignment="1"/>
    <xf numFmtId="0" fontId="0" fillId="0" borderId="0" xfId="0"/>
    <xf numFmtId="0" fontId="0" fillId="0" borderId="33" xfId="0" applyBorder="1" applyAlignment="1"/>
    <xf numFmtId="164" fontId="0" fillId="0" borderId="50" xfId="42" applyNumberFormat="1" applyFont="1" applyBorder="1"/>
    <xf numFmtId="0" fontId="0" fillId="0" borderId="0" xfId="0"/>
    <xf numFmtId="0" fontId="0" fillId="34" borderId="14" xfId="0" applyFill="1" applyBorder="1"/>
    <xf numFmtId="0" fontId="4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top"/>
    </xf>
    <xf numFmtId="0" fontId="21" fillId="0" borderId="0" xfId="0" applyFont="1"/>
    <xf numFmtId="0" fontId="1" fillId="0" borderId="16" xfId="0" applyFont="1" applyBorder="1" applyAlignment="1">
      <alignment horizontal="center" vertical="top"/>
    </xf>
    <xf numFmtId="164" fontId="21" fillId="0" borderId="23" xfId="42" applyNumberFormat="1" applyFont="1" applyBorder="1"/>
    <xf numFmtId="164" fontId="0" fillId="0" borderId="30" xfId="42" applyNumberFormat="1" applyFont="1" applyBorder="1" applyAlignment="1"/>
    <xf numFmtId="164" fontId="2" fillId="0" borderId="38" xfId="42" applyNumberFormat="1" applyFont="1" applyBorder="1" applyAlignment="1">
      <alignment vertical="top"/>
    </xf>
    <xf numFmtId="0" fontId="21" fillId="0" borderId="22" xfId="0" applyFont="1" applyBorder="1" applyAlignment="1">
      <alignment horizontal="center" vertical="center"/>
    </xf>
    <xf numFmtId="0" fontId="0" fillId="0" borderId="29" xfId="0" applyBorder="1" applyAlignment="1"/>
    <xf numFmtId="0" fontId="0" fillId="0" borderId="33" xfId="0" applyBorder="1"/>
    <xf numFmtId="0" fontId="0" fillId="0" borderId="37" xfId="0" applyBorder="1"/>
    <xf numFmtId="0" fontId="2" fillId="0" borderId="33" xfId="0" applyFont="1" applyBorder="1" applyAlignment="1">
      <alignment vertical="top"/>
    </xf>
    <xf numFmtId="0" fontId="2" fillId="0" borderId="37" xfId="0" applyFont="1" applyBorder="1" applyAlignment="1">
      <alignment vertical="top"/>
    </xf>
    <xf numFmtId="0" fontId="4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top"/>
    </xf>
    <xf numFmtId="164" fontId="2" fillId="0" borderId="72" xfId="42" applyNumberFormat="1" applyFont="1" applyBorder="1" applyAlignment="1">
      <alignment vertical="top"/>
    </xf>
    <xf numFmtId="164" fontId="0" fillId="0" borderId="79" xfId="42" applyNumberFormat="1" applyFont="1" applyBorder="1"/>
    <xf numFmtId="0" fontId="0" fillId="0" borderId="0" xfId="0" applyAlignment="1">
      <alignment horizontal="center" vertical="center"/>
    </xf>
    <xf numFmtId="164" fontId="0" fillId="0" borderId="80" xfId="42" applyNumberFormat="1" applyFont="1" applyBorder="1"/>
    <xf numFmtId="164" fontId="0" fillId="0" borderId="81" xfId="42" applyNumberFormat="1" applyFont="1" applyBorder="1"/>
    <xf numFmtId="164" fontId="21" fillId="0" borderId="49" xfId="42" applyNumberFormat="1" applyFont="1" applyBorder="1"/>
    <xf numFmtId="164" fontId="0" fillId="0" borderId="82" xfId="42" applyNumberFormat="1" applyFont="1" applyBorder="1"/>
    <xf numFmtId="164" fontId="21" fillId="0" borderId="79" xfId="42" applyNumberFormat="1" applyFont="1" applyBorder="1"/>
    <xf numFmtId="0" fontId="2" fillId="0" borderId="41" xfId="0" applyFont="1" applyBorder="1" applyAlignment="1">
      <alignment vertical="top"/>
    </xf>
    <xf numFmtId="164" fontId="2" fillId="0" borderId="42" xfId="42" applyNumberFormat="1" applyFont="1" applyBorder="1" applyAlignment="1">
      <alignment vertical="top"/>
    </xf>
    <xf numFmtId="164" fontId="0" fillId="0" borderId="72" xfId="42" applyNumberFormat="1" applyFont="1" applyBorder="1" applyAlignment="1"/>
    <xf numFmtId="164" fontId="4" fillId="0" borderId="78" xfId="0" applyNumberFormat="1" applyFont="1" applyBorder="1"/>
    <xf numFmtId="0" fontId="25" fillId="37" borderId="64" xfId="0" applyFont="1" applyFill="1" applyBorder="1" applyAlignment="1">
      <alignment vertical="top"/>
    </xf>
    <xf numFmtId="0" fontId="21" fillId="37" borderId="72" xfId="0" applyFont="1" applyFill="1" applyBorder="1" applyAlignment="1"/>
    <xf numFmtId="0" fontId="21" fillId="37" borderId="23" xfId="0" applyFont="1" applyFill="1" applyBorder="1" applyAlignment="1"/>
    <xf numFmtId="0" fontId="21" fillId="38" borderId="72" xfId="0" applyFont="1" applyFill="1" applyBorder="1" applyAlignment="1"/>
    <xf numFmtId="0" fontId="21" fillId="38" borderId="23" xfId="0" applyFont="1" applyFill="1" applyBorder="1" applyAlignment="1"/>
    <xf numFmtId="164" fontId="21" fillId="0" borderId="24" xfId="42" applyNumberFormat="1" applyFont="1" applyBorder="1"/>
    <xf numFmtId="164" fontId="21" fillId="0" borderId="77" xfId="42" applyNumberFormat="1" applyFont="1" applyBorder="1"/>
    <xf numFmtId="164" fontId="4" fillId="0" borderId="76" xfId="0" applyNumberFormat="1" applyFont="1" applyBorder="1"/>
    <xf numFmtId="0" fontId="4" fillId="0" borderId="65" xfId="0" applyFont="1" applyBorder="1" applyAlignment="1">
      <alignment horizontal="center" vertical="center"/>
    </xf>
    <xf numFmtId="164" fontId="0" fillId="0" borderId="52" xfId="42" applyNumberFormat="1" applyFont="1" applyBorder="1" applyAlignment="1">
      <alignment horizontal="right"/>
    </xf>
    <xf numFmtId="164" fontId="0" fillId="0" borderId="27" xfId="42" applyNumberFormat="1" applyFont="1" applyBorder="1" applyAlignment="1">
      <alignment horizontal="right"/>
    </xf>
    <xf numFmtId="164" fontId="0" fillId="0" borderId="10" xfId="42" applyNumberFormat="1" applyFont="1" applyBorder="1" applyAlignment="1">
      <alignment horizontal="right"/>
    </xf>
    <xf numFmtId="164" fontId="0" fillId="0" borderId="25" xfId="42" applyNumberFormat="1" applyFont="1" applyBorder="1" applyAlignment="1">
      <alignment horizontal="right"/>
    </xf>
    <xf numFmtId="164" fontId="0" fillId="0" borderId="17" xfId="42" applyNumberFormat="1" applyFont="1" applyBorder="1" applyAlignment="1">
      <alignment horizontal="right"/>
    </xf>
    <xf numFmtId="164" fontId="0" fillId="0" borderId="12" xfId="42" applyNumberFormat="1" applyFont="1" applyBorder="1" applyAlignment="1">
      <alignment horizontal="right"/>
    </xf>
    <xf numFmtId="164" fontId="0" fillId="0" borderId="64" xfId="42" applyNumberFormat="1" applyFont="1" applyBorder="1" applyAlignment="1">
      <alignment horizontal="right"/>
    </xf>
    <xf numFmtId="164" fontId="0" fillId="0" borderId="40" xfId="42" applyNumberFormat="1" applyFont="1" applyBorder="1" applyAlignment="1">
      <alignment horizontal="right"/>
    </xf>
    <xf numFmtId="164" fontId="0" fillId="0" borderId="54" xfId="42" applyNumberFormat="1" applyFont="1" applyBorder="1" applyAlignment="1">
      <alignment horizontal="right"/>
    </xf>
    <xf numFmtId="164" fontId="0" fillId="0" borderId="16" xfId="42" applyNumberFormat="1" applyFont="1" applyBorder="1" applyAlignment="1">
      <alignment horizontal="right"/>
    </xf>
    <xf numFmtId="164" fontId="0" fillId="0" borderId="39" xfId="42" applyNumberFormat="1" applyFont="1" applyBorder="1" applyAlignment="1">
      <alignment horizontal="right"/>
    </xf>
    <xf numFmtId="164" fontId="0" fillId="0" borderId="56" xfId="42" applyNumberFormat="1" applyFont="1" applyBorder="1" applyAlignment="1">
      <alignment horizontal="right"/>
    </xf>
    <xf numFmtId="164" fontId="0" fillId="0" borderId="33" xfId="42" applyNumberFormat="1" applyFont="1" applyBorder="1" applyAlignment="1">
      <alignment horizontal="right"/>
    </xf>
    <xf numFmtId="164" fontId="0" fillId="0" borderId="74" xfId="42" applyNumberFormat="1" applyFont="1" applyBorder="1" applyAlignment="1">
      <alignment wrapText="1"/>
    </xf>
    <xf numFmtId="164" fontId="0" fillId="0" borderId="29" xfId="42" applyNumberFormat="1" applyFont="1" applyBorder="1" applyAlignment="1">
      <alignment horizontal="right"/>
    </xf>
    <xf numFmtId="164" fontId="0" fillId="0" borderId="31" xfId="42" applyNumberFormat="1" applyFont="1" applyBorder="1" applyAlignment="1">
      <alignment horizontal="right"/>
    </xf>
    <xf numFmtId="164" fontId="0" fillId="0" borderId="37" xfId="42" applyNumberFormat="1" applyFont="1" applyBorder="1" applyAlignment="1">
      <alignment horizontal="right"/>
    </xf>
    <xf numFmtId="164" fontId="4" fillId="0" borderId="47" xfId="0" applyNumberFormat="1" applyFont="1" applyBorder="1" applyAlignment="1">
      <alignment horizontal="right"/>
    </xf>
    <xf numFmtId="164" fontId="21" fillId="0" borderId="25" xfId="42" applyNumberFormat="1" applyFont="1" applyBorder="1" applyAlignment="1">
      <alignment horizontal="right"/>
    </xf>
    <xf numFmtId="164" fontId="0" fillId="0" borderId="36" xfId="42" applyNumberFormat="1" applyFont="1" applyBorder="1" applyAlignment="1">
      <alignment horizontal="right"/>
    </xf>
    <xf numFmtId="164" fontId="21" fillId="0" borderId="20" xfId="42" applyNumberFormat="1" applyFont="1" applyBorder="1" applyAlignment="1">
      <alignment horizontal="right"/>
    </xf>
    <xf numFmtId="164" fontId="0" fillId="0" borderId="55" xfId="42" applyNumberFormat="1" applyFont="1" applyBorder="1" applyAlignment="1">
      <alignment horizontal="right"/>
    </xf>
    <xf numFmtId="164" fontId="0" fillId="0" borderId="35" xfId="42" applyNumberFormat="1" applyFont="1" applyBorder="1" applyAlignment="1">
      <alignment horizontal="right"/>
    </xf>
    <xf numFmtId="164" fontId="21" fillId="0" borderId="19" xfId="42" applyNumberFormat="1" applyFont="1" applyBorder="1" applyAlignment="1">
      <alignment horizontal="right"/>
    </xf>
    <xf numFmtId="164" fontId="0" fillId="0" borderId="53" xfId="42" applyNumberFormat="1" applyFont="1" applyBorder="1" applyAlignment="1">
      <alignment horizontal="right"/>
    </xf>
    <xf numFmtId="164" fontId="21" fillId="0" borderId="17" xfId="42" applyNumberFormat="1" applyFont="1" applyBorder="1" applyAlignment="1">
      <alignment horizontal="right"/>
    </xf>
    <xf numFmtId="164" fontId="21" fillId="0" borderId="26" xfId="42" applyNumberFormat="1" applyFont="1" applyBorder="1" applyAlignment="1">
      <alignment horizontal="right"/>
    </xf>
    <xf numFmtId="164" fontId="0" fillId="0" borderId="51" xfId="42" applyNumberFormat="1" applyFont="1" applyBorder="1" applyAlignment="1">
      <alignment horizontal="right"/>
    </xf>
    <xf numFmtId="164" fontId="21" fillId="0" borderId="12" xfId="42" applyNumberFormat="1" applyFont="1" applyBorder="1" applyAlignment="1">
      <alignment horizontal="right"/>
    </xf>
    <xf numFmtId="164" fontId="21" fillId="0" borderId="64" xfId="42" applyNumberFormat="1" applyFont="1" applyBorder="1" applyAlignment="1">
      <alignment horizontal="right"/>
    </xf>
    <xf numFmtId="164" fontId="21" fillId="0" borderId="16" xfId="42" applyNumberFormat="1" applyFont="1" applyBorder="1" applyAlignment="1">
      <alignment horizontal="right"/>
    </xf>
    <xf numFmtId="164" fontId="0" fillId="0" borderId="41" xfId="42" applyNumberFormat="1" applyFont="1" applyBorder="1" applyAlignment="1">
      <alignment horizontal="right"/>
    </xf>
    <xf numFmtId="164" fontId="21" fillId="0" borderId="10" xfId="42" applyNumberFormat="1" applyFont="1" applyBorder="1" applyAlignment="1">
      <alignment horizontal="right"/>
    </xf>
    <xf numFmtId="164" fontId="0" fillId="0" borderId="32" xfId="42" applyNumberFormat="1" applyFont="1" applyBorder="1" applyAlignment="1">
      <alignment horizontal="right"/>
    </xf>
    <xf numFmtId="164" fontId="2" fillId="0" borderId="34" xfId="42" applyNumberFormat="1" applyFont="1" applyBorder="1" applyAlignment="1">
      <alignment vertical="top"/>
    </xf>
    <xf numFmtId="0" fontId="2" fillId="0" borderId="33" xfId="0" applyFont="1" applyBorder="1" applyAlignment="1">
      <alignment vertical="top"/>
    </xf>
    <xf numFmtId="164" fontId="21" fillId="0" borderId="86" xfId="42" applyNumberFormat="1" applyFont="1" applyBorder="1" applyAlignment="1">
      <alignment horizontal="right"/>
    </xf>
    <xf numFmtId="164" fontId="0" fillId="0" borderId="31" xfId="42" applyNumberFormat="1" applyFont="1" applyFill="1" applyBorder="1" applyAlignment="1">
      <alignment horizontal="right"/>
    </xf>
    <xf numFmtId="164" fontId="0" fillId="0" borderId="32" xfId="42" applyNumberFormat="1" applyFont="1" applyFill="1" applyBorder="1" applyAlignment="1">
      <alignment horizontal="right"/>
    </xf>
    <xf numFmtId="164" fontId="4" fillId="0" borderId="63" xfId="0" applyNumberFormat="1" applyFont="1" applyBorder="1" applyAlignment="1">
      <alignment horizontal="right"/>
    </xf>
    <xf numFmtId="164" fontId="0" fillId="0" borderId="75" xfId="42" applyNumberFormat="1" applyFont="1" applyBorder="1" applyAlignment="1">
      <alignment horizontal="right"/>
    </xf>
    <xf numFmtId="164" fontId="0" fillId="0" borderId="70" xfId="42" applyNumberFormat="1" applyFont="1" applyBorder="1" applyAlignment="1">
      <alignment horizontal="right"/>
    </xf>
    <xf numFmtId="164" fontId="0" fillId="0" borderId="76" xfId="42" applyNumberFormat="1" applyFont="1" applyBorder="1" applyAlignment="1">
      <alignment horizontal="right"/>
    </xf>
    <xf numFmtId="164" fontId="0" fillId="0" borderId="83" xfId="42" applyNumberFormat="1" applyFont="1" applyBorder="1" applyAlignment="1">
      <alignment wrapText="1"/>
    </xf>
    <xf numFmtId="164" fontId="0" fillId="0" borderId="85" xfId="42" applyNumberFormat="1" applyFont="1" applyBorder="1" applyAlignment="1">
      <alignment horizontal="right"/>
    </xf>
    <xf numFmtId="164" fontId="0" fillId="0" borderId="69" xfId="42" applyNumberFormat="1" applyFont="1" applyBorder="1" applyAlignment="1">
      <alignment horizontal="right"/>
    </xf>
    <xf numFmtId="164" fontId="0" fillId="0" borderId="15" xfId="42" applyNumberFormat="1" applyFont="1" applyBorder="1" applyAlignment="1">
      <alignment horizontal="right"/>
    </xf>
    <xf numFmtId="164" fontId="21" fillId="0" borderId="87" xfId="42" applyNumberFormat="1" applyFont="1" applyBorder="1" applyAlignment="1">
      <alignment horizontal="right"/>
    </xf>
    <xf numFmtId="164" fontId="21" fillId="0" borderId="84" xfId="42" applyNumberFormat="1" applyFont="1" applyBorder="1" applyAlignment="1">
      <alignment horizontal="right"/>
    </xf>
    <xf numFmtId="164" fontId="21" fillId="0" borderId="24" xfId="42" applyNumberFormat="1" applyFont="1" applyBorder="1" applyAlignment="1">
      <alignment horizontal="right"/>
    </xf>
    <xf numFmtId="164" fontId="4" fillId="0" borderId="78" xfId="0" applyNumberFormat="1" applyFont="1" applyBorder="1" applyAlignment="1">
      <alignment horizontal="right"/>
    </xf>
    <xf numFmtId="164" fontId="4" fillId="0" borderId="88" xfId="0" applyNumberFormat="1" applyFont="1" applyBorder="1" applyAlignment="1">
      <alignment horizontal="right"/>
    </xf>
    <xf numFmtId="0" fontId="21" fillId="38" borderId="64" xfId="0" applyFont="1" applyFill="1" applyBorder="1" applyAlignment="1"/>
    <xf numFmtId="164" fontId="26" fillId="0" borderId="39" xfId="42" applyNumberFormat="1" applyFont="1" applyBorder="1" applyAlignment="1">
      <alignment horizontal="right"/>
    </xf>
    <xf numFmtId="164" fontId="26" fillId="0" borderId="33" xfId="42" applyNumberFormat="1" applyFont="1" applyBorder="1" applyAlignment="1">
      <alignment horizontal="right"/>
    </xf>
    <xf numFmtId="164" fontId="26" fillId="0" borderId="37" xfId="42" applyNumberFormat="1" applyFont="1" applyBorder="1" applyAlignment="1">
      <alignment horizontal="right"/>
    </xf>
    <xf numFmtId="164" fontId="26" fillId="0" borderId="31" xfId="42" applyNumberFormat="1" applyFont="1" applyBorder="1" applyAlignment="1">
      <alignment horizontal="right"/>
    </xf>
    <xf numFmtId="164" fontId="0" fillId="0" borderId="38" xfId="42" applyNumberFormat="1" applyFont="1" applyBorder="1" applyAlignment="1">
      <alignment horizontal="right"/>
    </xf>
    <xf numFmtId="164" fontId="26" fillId="0" borderId="41" xfId="42" applyNumberFormat="1" applyFont="1" applyBorder="1" applyAlignment="1">
      <alignment horizontal="right"/>
    </xf>
    <xf numFmtId="164" fontId="26" fillId="0" borderId="35" xfId="42" applyNumberFormat="1" applyFont="1" applyBorder="1" applyAlignment="1">
      <alignment horizontal="right"/>
    </xf>
    <xf numFmtId="0" fontId="0" fillId="0" borderId="0" xfId="0"/>
    <xf numFmtId="0" fontId="0" fillId="34" borderId="0" xfId="0" applyFill="1" applyBorder="1"/>
    <xf numFmtId="164" fontId="0" fillId="0" borderId="32" xfId="42" applyNumberFormat="1" applyFont="1" applyBorder="1"/>
    <xf numFmtId="164" fontId="0" fillId="0" borderId="53" xfId="42" applyNumberFormat="1" applyFont="1" applyBorder="1"/>
    <xf numFmtId="0" fontId="0" fillId="0" borderId="54" xfId="0" applyBorder="1"/>
    <xf numFmtId="164" fontId="0" fillId="0" borderId="54" xfId="42" applyNumberFormat="1" applyFont="1" applyBorder="1"/>
    <xf numFmtId="164" fontId="0" fillId="0" borderId="54" xfId="0" applyNumberFormat="1" applyBorder="1"/>
    <xf numFmtId="0" fontId="0" fillId="0" borderId="32" xfId="0" applyBorder="1"/>
    <xf numFmtId="164" fontId="0" fillId="0" borderId="32" xfId="0" applyNumberFormat="1" applyBorder="1"/>
    <xf numFmtId="0" fontId="0" fillId="0" borderId="53" xfId="0" applyBorder="1"/>
    <xf numFmtId="164" fontId="0" fillId="0" borderId="52" xfId="42" applyNumberFormat="1" applyFont="1" applyBorder="1" applyAlignment="1">
      <alignment horizontal="right"/>
    </xf>
    <xf numFmtId="164" fontId="0" fillId="0" borderId="54" xfId="42" applyNumberFormat="1" applyFont="1" applyBorder="1" applyAlignment="1">
      <alignment horizontal="right"/>
    </xf>
    <xf numFmtId="164" fontId="0" fillId="0" borderId="56" xfId="42" applyNumberFormat="1" applyFont="1" applyBorder="1" applyAlignment="1">
      <alignment horizontal="right"/>
    </xf>
    <xf numFmtId="164" fontId="0" fillId="0" borderId="36" xfId="42" applyNumberFormat="1" applyFont="1" applyBorder="1" applyAlignment="1">
      <alignment horizontal="right"/>
    </xf>
    <xf numFmtId="164" fontId="0" fillId="0" borderId="35" xfId="42" applyNumberFormat="1" applyFont="1" applyBorder="1" applyAlignment="1">
      <alignment horizontal="right"/>
    </xf>
    <xf numFmtId="164" fontId="21" fillId="0" borderId="17" xfId="42" applyNumberFormat="1" applyFont="1" applyBorder="1" applyAlignment="1">
      <alignment horizontal="right"/>
    </xf>
    <xf numFmtId="164" fontId="21" fillId="0" borderId="16" xfId="42" applyNumberFormat="1" applyFont="1" applyBorder="1" applyAlignment="1">
      <alignment horizontal="right"/>
    </xf>
    <xf numFmtId="164" fontId="0" fillId="0" borderId="0" xfId="42" applyNumberFormat="1" applyFont="1" applyBorder="1" applyAlignment="1">
      <alignment horizontal="right"/>
    </xf>
    <xf numFmtId="164" fontId="0" fillId="0" borderId="57" xfId="42" applyNumberFormat="1" applyFont="1" applyBorder="1" applyAlignment="1">
      <alignment horizontal="right"/>
    </xf>
    <xf numFmtId="164" fontId="26" fillId="0" borderId="40" xfId="42" applyNumberFormat="1" applyFont="1" applyBorder="1" applyAlignment="1">
      <alignment horizontal="right"/>
    </xf>
    <xf numFmtId="0" fontId="1" fillId="0" borderId="23" xfId="0" applyFont="1" applyBorder="1" applyAlignment="1">
      <alignment horizontal="center" vertical="top"/>
    </xf>
    <xf numFmtId="164" fontId="0" fillId="0" borderId="42" xfId="42" applyNumberFormat="1" applyFont="1" applyBorder="1" applyAlignment="1">
      <alignment horizontal="right"/>
    </xf>
    <xf numFmtId="164" fontId="26" fillId="0" borderId="32" xfId="42" applyNumberFormat="1" applyFont="1" applyBorder="1" applyAlignment="1">
      <alignment horizontal="right"/>
    </xf>
    <xf numFmtId="164" fontId="26" fillId="0" borderId="36" xfId="42" applyNumberFormat="1" applyFont="1" applyBorder="1" applyAlignment="1">
      <alignment horizontal="right"/>
    </xf>
    <xf numFmtId="0" fontId="0" fillId="0" borderId="0" xfId="0"/>
    <xf numFmtId="0" fontId="1" fillId="0" borderId="12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top"/>
    </xf>
    <xf numFmtId="164" fontId="0" fillId="34" borderId="0" xfId="42" applyNumberFormat="1" applyFont="1" applyFill="1" applyBorder="1"/>
    <xf numFmtId="0" fontId="21" fillId="0" borderId="25" xfId="0" applyFont="1" applyBorder="1" applyAlignment="1">
      <alignment horizontal="center" vertical="center"/>
    </xf>
    <xf numFmtId="0" fontId="0" fillId="0" borderId="56" xfId="0" applyBorder="1" applyAlignment="1"/>
    <xf numFmtId="164" fontId="0" fillId="0" borderId="58" xfId="42" applyNumberFormat="1" applyFont="1" applyBorder="1" applyAlignment="1"/>
    <xf numFmtId="0" fontId="0" fillId="0" borderId="25" xfId="0" applyFont="1" applyBorder="1" applyAlignment="1">
      <alignment horizontal="center" vertical="center"/>
    </xf>
    <xf numFmtId="164" fontId="0" fillId="0" borderId="52" xfId="42" applyNumberFormat="1" applyFont="1" applyBorder="1" applyAlignment="1">
      <alignment horizontal="right"/>
    </xf>
    <xf numFmtId="164" fontId="0" fillId="0" borderId="10" xfId="42" applyNumberFormat="1" applyFont="1" applyBorder="1" applyAlignment="1">
      <alignment horizontal="right"/>
    </xf>
    <xf numFmtId="164" fontId="0" fillId="0" borderId="12" xfId="42" applyNumberFormat="1" applyFont="1" applyBorder="1" applyAlignment="1">
      <alignment horizontal="right"/>
    </xf>
    <xf numFmtId="164" fontId="0" fillId="0" borderId="54" xfId="42" applyNumberFormat="1" applyFont="1" applyBorder="1" applyAlignment="1">
      <alignment horizontal="right"/>
    </xf>
    <xf numFmtId="164" fontId="0" fillId="0" borderId="28" xfId="42" applyNumberFormat="1" applyFont="1" applyBorder="1" applyAlignment="1">
      <alignment horizontal="right"/>
    </xf>
    <xf numFmtId="164" fontId="0" fillId="0" borderId="56" xfId="42" applyNumberFormat="1" applyFont="1" applyBorder="1" applyAlignment="1">
      <alignment horizontal="right"/>
    </xf>
    <xf numFmtId="164" fontId="0" fillId="0" borderId="33" xfId="42" applyNumberFormat="1" applyFont="1" applyBorder="1" applyAlignment="1">
      <alignment horizontal="right"/>
    </xf>
    <xf numFmtId="164" fontId="0" fillId="0" borderId="74" xfId="42" applyNumberFormat="1" applyFont="1" applyBorder="1" applyAlignment="1">
      <alignment wrapText="1"/>
    </xf>
    <xf numFmtId="164" fontId="0" fillId="0" borderId="36" xfId="42" applyNumberFormat="1" applyFont="1" applyBorder="1" applyAlignment="1">
      <alignment horizontal="right"/>
    </xf>
    <xf numFmtId="164" fontId="0" fillId="0" borderId="53" xfId="42" applyNumberFormat="1" applyFont="1" applyBorder="1" applyAlignment="1">
      <alignment horizontal="right"/>
    </xf>
    <xf numFmtId="164" fontId="21" fillId="0" borderId="17" xfId="42" applyNumberFormat="1" applyFont="1" applyBorder="1" applyAlignment="1">
      <alignment horizontal="right"/>
    </xf>
    <xf numFmtId="164" fontId="21" fillId="0" borderId="12" xfId="42" applyNumberFormat="1" applyFont="1" applyBorder="1" applyAlignment="1">
      <alignment horizontal="right"/>
    </xf>
    <xf numFmtId="164" fontId="0" fillId="0" borderId="53" xfId="42" applyNumberFormat="1" applyFont="1" applyBorder="1" applyAlignment="1">
      <alignment horizontal="right" vertical="center"/>
    </xf>
    <xf numFmtId="164" fontId="21" fillId="0" borderId="10" xfId="42" applyNumberFormat="1" applyFont="1" applyBorder="1" applyAlignment="1">
      <alignment horizontal="right"/>
    </xf>
    <xf numFmtId="164" fontId="0" fillId="0" borderId="32" xfId="42" applyNumberFormat="1" applyFont="1" applyBorder="1" applyAlignment="1">
      <alignment horizontal="right"/>
    </xf>
    <xf numFmtId="164" fontId="0" fillId="0" borderId="46" xfId="42" applyNumberFormat="1" applyFont="1" applyBorder="1" applyAlignment="1">
      <alignment horizontal="right"/>
    </xf>
    <xf numFmtId="164" fontId="0" fillId="0" borderId="0" xfId="0" applyNumberFormat="1"/>
    <xf numFmtId="164" fontId="0" fillId="0" borderId="58" xfId="42" applyNumberFormat="1" applyFont="1" applyBorder="1" applyAlignment="1">
      <alignment horizontal="right"/>
    </xf>
    <xf numFmtId="164" fontId="0" fillId="0" borderId="72" xfId="42" applyNumberFormat="1" applyFont="1" applyBorder="1" applyAlignment="1">
      <alignment horizontal="right"/>
    </xf>
    <xf numFmtId="164" fontId="0" fillId="0" borderId="34" xfId="42" applyNumberFormat="1" applyFont="1" applyBorder="1" applyAlignment="1">
      <alignment horizontal="right"/>
    </xf>
    <xf numFmtId="0" fontId="0" fillId="0" borderId="23" xfId="0" applyBorder="1" applyAlignment="1"/>
    <xf numFmtId="0" fontId="0" fillId="0" borderId="22" xfId="0" applyBorder="1" applyAlignment="1"/>
    <xf numFmtId="0" fontId="0" fillId="0" borderId="23" xfId="0" applyBorder="1" applyAlignment="1"/>
    <xf numFmtId="0" fontId="0" fillId="0" borderId="22" xfId="0" applyBorder="1" applyAlignment="1"/>
    <xf numFmtId="164" fontId="0" fillId="0" borderId="23" xfId="42" applyNumberFormat="1" applyFont="1" applyBorder="1" applyAlignment="1">
      <alignment horizontal="right"/>
    </xf>
    <xf numFmtId="164" fontId="0" fillId="0" borderId="11" xfId="42" applyNumberFormat="1" applyFont="1" applyBorder="1" applyAlignment="1">
      <alignment horizontal="right"/>
    </xf>
    <xf numFmtId="0" fontId="27" fillId="0" borderId="18" xfId="0" applyFont="1" applyBorder="1" applyAlignment="1">
      <alignment horizontal="center" vertical="center"/>
    </xf>
    <xf numFmtId="0" fontId="27" fillId="38" borderId="24" xfId="0" applyFont="1" applyFill="1" applyBorder="1" applyAlignment="1"/>
    <xf numFmtId="164" fontId="21" fillId="0" borderId="23" xfId="42" applyNumberFormat="1" applyFont="1" applyBorder="1" applyAlignment="1">
      <alignment horizontal="right"/>
    </xf>
    <xf numFmtId="164" fontId="0" fillId="0" borderId="30" xfId="42" applyNumberFormat="1" applyFont="1" applyBorder="1" applyAlignment="1">
      <alignment horizontal="right"/>
    </xf>
    <xf numFmtId="164" fontId="21" fillId="0" borderId="72" xfId="42" applyNumberFormat="1" applyFont="1" applyBorder="1" applyAlignment="1">
      <alignment horizontal="right"/>
    </xf>
    <xf numFmtId="164" fontId="0" fillId="0" borderId="57" xfId="42" applyNumberFormat="1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center"/>
    </xf>
    <xf numFmtId="164" fontId="0" fillId="0" borderId="40" xfId="42" applyNumberFormat="1" applyFont="1" applyBorder="1" applyAlignment="1">
      <alignment horizontal="center" vertical="center"/>
    </xf>
    <xf numFmtId="164" fontId="0" fillId="0" borderId="32" xfId="42" applyNumberFormat="1" applyFont="1" applyBorder="1" applyAlignment="1">
      <alignment horizontal="center" vertical="center"/>
    </xf>
    <xf numFmtId="164" fontId="0" fillId="0" borderId="36" xfId="42" applyNumberFormat="1" applyFont="1" applyBorder="1" applyAlignment="1">
      <alignment horizontal="center" vertical="center"/>
    </xf>
    <xf numFmtId="164" fontId="21" fillId="0" borderId="12" xfId="42" applyNumberFormat="1" applyFont="1" applyBorder="1" applyAlignment="1">
      <alignment horizontal="center" vertical="center"/>
    </xf>
    <xf numFmtId="164" fontId="0" fillId="0" borderId="28" xfId="42" applyNumberFormat="1" applyFont="1" applyBorder="1" applyAlignment="1">
      <alignment horizontal="center" vertical="center"/>
    </xf>
    <xf numFmtId="164" fontId="0" fillId="0" borderId="54" xfId="42" applyNumberFormat="1" applyFont="1" applyBorder="1" applyAlignment="1">
      <alignment horizontal="center" vertical="center"/>
    </xf>
    <xf numFmtId="164" fontId="0" fillId="0" borderId="12" xfId="42" applyNumberFormat="1" applyFont="1" applyBorder="1" applyAlignment="1">
      <alignment horizontal="center" vertical="center"/>
    </xf>
    <xf numFmtId="164" fontId="0" fillId="0" borderId="10" xfId="42" applyNumberFormat="1" applyFont="1" applyBorder="1" applyAlignment="1">
      <alignment horizontal="center" vertical="center"/>
    </xf>
    <xf numFmtId="2" fontId="0" fillId="0" borderId="54" xfId="42" applyNumberFormat="1" applyFont="1" applyBorder="1" applyAlignment="1">
      <alignment horizontal="center" vertical="center"/>
    </xf>
    <xf numFmtId="2" fontId="0" fillId="0" borderId="32" xfId="42" applyNumberFormat="1" applyFont="1" applyBorder="1" applyAlignment="1">
      <alignment horizontal="center" vertical="center"/>
    </xf>
    <xf numFmtId="1" fontId="0" fillId="0" borderId="53" xfId="42" applyNumberFormat="1" applyFont="1" applyBorder="1" applyAlignment="1">
      <alignment horizontal="center" vertical="center"/>
    </xf>
    <xf numFmtId="164" fontId="21" fillId="0" borderId="10" xfId="42" applyNumberFormat="1" applyFont="1" applyBorder="1" applyAlignment="1">
      <alignment horizontal="center" vertical="center"/>
    </xf>
    <xf numFmtId="164" fontId="0" fillId="0" borderId="54" xfId="42" quotePrefix="1" applyNumberFormat="1" applyFont="1" applyBorder="1" applyAlignment="1">
      <alignment horizontal="center" vertical="center"/>
    </xf>
    <xf numFmtId="164" fontId="0" fillId="0" borderId="32" xfId="42" quotePrefix="1" applyNumberFormat="1" applyFont="1" applyBorder="1" applyAlignment="1">
      <alignment horizontal="center" vertical="center"/>
    </xf>
    <xf numFmtId="164" fontId="0" fillId="0" borderId="53" xfId="42" applyNumberFormat="1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top"/>
    </xf>
    <xf numFmtId="0" fontId="0" fillId="33" borderId="0" xfId="0" applyFill="1"/>
    <xf numFmtId="164" fontId="26" fillId="0" borderId="53" xfId="42" applyNumberFormat="1" applyFont="1" applyBorder="1" applyAlignment="1">
      <alignment horizontal="right"/>
    </xf>
    <xf numFmtId="164" fontId="21" fillId="0" borderId="67" xfId="42" applyNumberFormat="1" applyFont="1" applyBorder="1" applyAlignment="1">
      <alignment horizontal="right"/>
    </xf>
    <xf numFmtId="164" fontId="26" fillId="0" borderId="54" xfId="42" applyNumberFormat="1" applyFont="1" applyBorder="1" applyAlignment="1">
      <alignment horizontal="right"/>
    </xf>
    <xf numFmtId="164" fontId="26" fillId="0" borderId="10" xfId="42" applyNumberFormat="1" applyFont="1" applyBorder="1" applyAlignment="1">
      <alignment horizontal="right"/>
    </xf>
    <xf numFmtId="164" fontId="26" fillId="0" borderId="11" xfId="42" applyNumberFormat="1" applyFont="1" applyBorder="1" applyAlignment="1">
      <alignment horizontal="right"/>
    </xf>
    <xf numFmtId="164" fontId="21" fillId="0" borderId="90" xfId="42" applyNumberFormat="1" applyFont="1" applyBorder="1" applyAlignment="1">
      <alignment horizontal="right"/>
    </xf>
    <xf numFmtId="164" fontId="21" fillId="0" borderId="61" xfId="42" applyNumberFormat="1" applyFont="1" applyBorder="1" applyAlignment="1">
      <alignment horizontal="right"/>
    </xf>
    <xf numFmtId="164" fontId="21" fillId="0" borderId="67" xfId="42" applyNumberFormat="1" applyFont="1" applyBorder="1" applyAlignment="1">
      <alignment horizontal="center" vertical="center"/>
    </xf>
    <xf numFmtId="164" fontId="27" fillId="0" borderId="91" xfId="42" applyNumberFormat="1" applyFont="1" applyBorder="1" applyAlignment="1">
      <alignment horizontal="right"/>
    </xf>
    <xf numFmtId="164" fontId="27" fillId="0" borderId="92" xfId="42" applyNumberFormat="1" applyFont="1" applyBorder="1" applyAlignment="1">
      <alignment horizontal="right"/>
    </xf>
    <xf numFmtId="164" fontId="27" fillId="0" borderId="92" xfId="42" applyNumberFormat="1" applyFont="1" applyBorder="1" applyAlignment="1">
      <alignment horizontal="center" vertical="center"/>
    </xf>
    <xf numFmtId="164" fontId="21" fillId="0" borderId="47" xfId="42" applyNumberFormat="1" applyFont="1" applyBorder="1" applyAlignment="1">
      <alignment horizontal="right"/>
    </xf>
    <xf numFmtId="164" fontId="21" fillId="0" borderId="63" xfId="42" applyNumberFormat="1" applyFont="1" applyBorder="1" applyAlignment="1">
      <alignment horizontal="right"/>
    </xf>
    <xf numFmtId="164" fontId="21" fillId="0" borderId="78" xfId="42" applyNumberFormat="1" applyFont="1" applyBorder="1"/>
    <xf numFmtId="164" fontId="21" fillId="0" borderId="78" xfId="42" applyNumberFormat="1" applyFont="1" applyBorder="1" applyAlignment="1">
      <alignment horizontal="right"/>
    </xf>
    <xf numFmtId="164" fontId="21" fillId="0" borderId="88" xfId="42" applyNumberFormat="1" applyFont="1" applyBorder="1" applyAlignment="1">
      <alignment horizontal="right"/>
    </xf>
    <xf numFmtId="164" fontId="21" fillId="0" borderId="76" xfId="42" applyNumberFormat="1" applyFont="1" applyBorder="1"/>
    <xf numFmtId="164" fontId="21" fillId="0" borderId="76" xfId="42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0" fontId="4" fillId="0" borderId="22" xfId="0" applyFont="1" applyBorder="1" applyAlignment="1">
      <alignment horizontal="center"/>
    </xf>
    <xf numFmtId="0" fontId="4" fillId="0" borderId="23" xfId="0" applyFont="1" applyBorder="1"/>
    <xf numFmtId="164" fontId="4" fillId="0" borderId="61" xfId="0" applyNumberFormat="1" applyFont="1" applyBorder="1" applyAlignment="1">
      <alignment horizontal="right"/>
    </xf>
    <xf numFmtId="164" fontId="4" fillId="0" borderId="61" xfId="0" applyNumberFormat="1" applyFont="1" applyBorder="1" applyAlignment="1">
      <alignment horizontal="center" vertical="center"/>
    </xf>
    <xf numFmtId="0" fontId="4" fillId="0" borderId="24" xfId="0" applyFont="1" applyBorder="1"/>
    <xf numFmtId="164" fontId="4" fillId="0" borderId="59" xfId="0" applyNumberFormat="1" applyFont="1" applyBorder="1" applyAlignment="1">
      <alignment horizontal="right"/>
    </xf>
    <xf numFmtId="164" fontId="4" fillId="0" borderId="66" xfId="0" applyNumberFormat="1" applyFont="1" applyBorder="1" applyAlignment="1">
      <alignment horizontal="right"/>
    </xf>
    <xf numFmtId="164" fontId="4" fillId="0" borderId="67" xfId="0" applyNumberFormat="1" applyFont="1" applyBorder="1" applyAlignment="1">
      <alignment horizontal="right"/>
    </xf>
    <xf numFmtId="164" fontId="4" fillId="0" borderId="68" xfId="0" applyNumberFormat="1" applyFont="1" applyBorder="1" applyAlignment="1">
      <alignment horizontal="center" vertical="center"/>
    </xf>
    <xf numFmtId="0" fontId="27" fillId="0" borderId="60" xfId="0" applyFont="1" applyBorder="1" applyAlignment="1">
      <alignment horizontal="center" vertical="center"/>
    </xf>
    <xf numFmtId="0" fontId="27" fillId="37" borderId="93" xfId="0" applyFont="1" applyFill="1" applyBorder="1" applyAlignment="1"/>
    <xf numFmtId="164" fontId="21" fillId="0" borderId="93" xfId="42" applyNumberFormat="1" applyFont="1" applyBorder="1" applyAlignment="1">
      <alignment horizontal="right"/>
    </xf>
    <xf numFmtId="164" fontId="21" fillId="0" borderId="61" xfId="42" applyNumberFormat="1" applyFont="1" applyBorder="1" applyAlignment="1">
      <alignment horizontal="center" vertical="center"/>
    </xf>
    <xf numFmtId="0" fontId="27" fillId="0" borderId="94" xfId="0" applyFont="1" applyBorder="1" applyAlignment="1">
      <alignment horizontal="center" vertical="center"/>
    </xf>
    <xf numFmtId="0" fontId="27" fillId="37" borderId="95" xfId="0" applyFont="1" applyFill="1" applyBorder="1" applyAlignment="1"/>
    <xf numFmtId="164" fontId="21" fillId="0" borderId="96" xfId="42" applyNumberFormat="1" applyFont="1" applyBorder="1" applyAlignment="1">
      <alignment horizontal="right"/>
    </xf>
    <xf numFmtId="164" fontId="21" fillId="0" borderId="97" xfId="42" applyNumberFormat="1" applyFont="1" applyBorder="1" applyAlignment="1">
      <alignment horizontal="right"/>
    </xf>
    <xf numFmtId="0" fontId="0" fillId="39" borderId="0" xfId="0" applyFill="1"/>
    <xf numFmtId="164" fontId="0" fillId="0" borderId="12" xfId="0" applyNumberFormat="1" applyBorder="1"/>
    <xf numFmtId="164" fontId="0" fillId="0" borderId="12" xfId="42" applyNumberFormat="1" applyFont="1" applyBorder="1"/>
    <xf numFmtId="164" fontId="2" fillId="0" borderId="40" xfId="42" applyNumberFormat="1" applyFont="1" applyBorder="1" applyAlignment="1">
      <alignment vertical="top"/>
    </xf>
    <xf numFmtId="164" fontId="2" fillId="0" borderId="41" xfId="42" applyNumberFormat="1" applyFont="1" applyBorder="1" applyAlignment="1">
      <alignment vertical="top"/>
    </xf>
    <xf numFmtId="164" fontId="2" fillId="0" borderId="32" xfId="42" applyNumberFormat="1" applyFont="1" applyBorder="1" applyAlignment="1">
      <alignment vertical="top"/>
    </xf>
    <xf numFmtId="164" fontId="2" fillId="0" borderId="33" xfId="42" applyNumberFormat="1" applyFont="1" applyBorder="1" applyAlignment="1">
      <alignment vertical="top"/>
    </xf>
    <xf numFmtId="164" fontId="2" fillId="0" borderId="32" xfId="42" applyNumberFormat="1" applyFont="1" applyBorder="1" applyAlignment="1">
      <alignment vertical="top" wrapText="1"/>
    </xf>
    <xf numFmtId="0" fontId="2" fillId="0" borderId="62" xfId="0" applyFont="1" applyBorder="1" applyAlignment="1">
      <alignment vertical="top"/>
    </xf>
    <xf numFmtId="0" fontId="2" fillId="0" borderId="17" xfId="0" applyFont="1" applyBorder="1" applyAlignment="1">
      <alignment vertical="top"/>
    </xf>
    <xf numFmtId="164" fontId="2" fillId="0" borderId="53" xfId="42" applyNumberFormat="1" applyFont="1" applyBorder="1" applyAlignment="1">
      <alignment vertical="top"/>
    </xf>
    <xf numFmtId="164" fontId="2" fillId="0" borderId="55" xfId="42" applyNumberFormat="1" applyFont="1" applyBorder="1" applyAlignment="1">
      <alignment vertical="top"/>
    </xf>
    <xf numFmtId="0" fontId="21" fillId="0" borderId="18" xfId="0" applyFont="1" applyBorder="1" applyAlignment="1">
      <alignment horizontal="center" vertical="center"/>
    </xf>
    <xf numFmtId="164" fontId="0" fillId="0" borderId="26" xfId="42" applyNumberFormat="1" applyFont="1" applyBorder="1" applyAlignment="1">
      <alignment horizontal="right"/>
    </xf>
    <xf numFmtId="164" fontId="0" fillId="0" borderId="19" xfId="42" applyNumberFormat="1" applyFont="1" applyBorder="1" applyAlignment="1">
      <alignment horizontal="right"/>
    </xf>
    <xf numFmtId="164" fontId="0" fillId="0" borderId="20" xfId="42" applyNumberFormat="1" applyFont="1" applyBorder="1" applyAlignment="1">
      <alignment horizontal="right"/>
    </xf>
    <xf numFmtId="164" fontId="2" fillId="0" borderId="19" xfId="42" applyNumberFormat="1" applyFont="1" applyBorder="1" applyAlignment="1">
      <alignment vertical="top"/>
    </xf>
    <xf numFmtId="164" fontId="2" fillId="0" borderId="20" xfId="42" applyNumberFormat="1" applyFont="1" applyBorder="1" applyAlignment="1">
      <alignment vertical="top"/>
    </xf>
    <xf numFmtId="0" fontId="0" fillId="0" borderId="26" xfId="0" applyFont="1" applyBorder="1" applyAlignment="1">
      <alignment horizontal="center" vertical="center"/>
    </xf>
    <xf numFmtId="164" fontId="0" fillId="0" borderId="84" xfId="42" applyNumberFormat="1" applyFont="1" applyBorder="1" applyAlignment="1">
      <alignment horizontal="right"/>
    </xf>
    <xf numFmtId="0" fontId="0" fillId="0" borderId="55" xfId="0" applyBorder="1" applyAlignment="1"/>
    <xf numFmtId="0" fontId="21" fillId="37" borderId="68" xfId="0" applyFont="1" applyFill="1" applyBorder="1" applyAlignment="1"/>
    <xf numFmtId="164" fontId="0" fillId="0" borderId="98" xfId="42" applyNumberFormat="1" applyFont="1" applyBorder="1" applyAlignment="1">
      <alignment horizontal="right"/>
    </xf>
    <xf numFmtId="164" fontId="0" fillId="0" borderId="66" xfId="42" applyNumberFormat="1" applyFont="1" applyBorder="1" applyAlignment="1">
      <alignment horizontal="right"/>
    </xf>
    <xf numFmtId="0" fontId="27" fillId="38" borderId="93" xfId="0" applyFont="1" applyFill="1" applyBorder="1" applyAlignment="1"/>
    <xf numFmtId="164" fontId="27" fillId="0" borderId="65" xfId="42" applyNumberFormat="1" applyFont="1" applyBorder="1" applyAlignment="1">
      <alignment horizontal="right"/>
    </xf>
    <xf numFmtId="164" fontId="27" fillId="0" borderId="11" xfId="42" applyNumberFormat="1" applyFont="1" applyBorder="1" applyAlignment="1">
      <alignment horizontal="right"/>
    </xf>
    <xf numFmtId="164" fontId="27" fillId="0" borderId="11" xfId="42" applyNumberFormat="1" applyFont="1" applyBorder="1" applyAlignment="1">
      <alignment horizontal="center" vertical="center"/>
    </xf>
    <xf numFmtId="0" fontId="0" fillId="0" borderId="41" xfId="0" applyBorder="1" applyAlignment="1"/>
    <xf numFmtId="164" fontId="0" fillId="0" borderId="41" xfId="42" applyNumberFormat="1" applyFont="1" applyBorder="1" applyAlignment="1"/>
    <xf numFmtId="164" fontId="0" fillId="0" borderId="75" xfId="42" applyNumberFormat="1" applyFont="1" applyBorder="1" applyAlignment="1"/>
    <xf numFmtId="164" fontId="0" fillId="0" borderId="33" xfId="42" applyNumberFormat="1" applyFont="1" applyBorder="1" applyAlignment="1"/>
    <xf numFmtId="164" fontId="0" fillId="0" borderId="46" xfId="42" applyNumberFormat="1" applyFont="1" applyBorder="1" applyAlignment="1"/>
    <xf numFmtId="164" fontId="0" fillId="0" borderId="55" xfId="42" applyNumberFormat="1" applyFont="1" applyBorder="1" applyAlignment="1"/>
    <xf numFmtId="164" fontId="0" fillId="0" borderId="70" xfId="42" applyNumberFormat="1" applyFont="1" applyBorder="1" applyAlignment="1"/>
    <xf numFmtId="164" fontId="0" fillId="0" borderId="56" xfId="42" applyNumberFormat="1" applyFont="1" applyBorder="1" applyAlignment="1"/>
    <xf numFmtId="164" fontId="0" fillId="0" borderId="85" xfId="42" applyNumberFormat="1" applyFont="1" applyBorder="1" applyAlignment="1"/>
    <xf numFmtId="164" fontId="0" fillId="0" borderId="64" xfId="42" applyNumberFormat="1" applyFont="1" applyBorder="1" applyAlignment="1"/>
    <xf numFmtId="164" fontId="0" fillId="0" borderId="69" xfId="42" applyNumberFormat="1" applyFont="1" applyBorder="1" applyAlignment="1"/>
    <xf numFmtId="164" fontId="0" fillId="0" borderId="15" xfId="42" applyNumberFormat="1" applyFont="1" applyBorder="1" applyAlignment="1"/>
    <xf numFmtId="164" fontId="0" fillId="0" borderId="87" xfId="42" applyNumberFormat="1" applyFont="1" applyBorder="1" applyAlignment="1"/>
    <xf numFmtId="164" fontId="0" fillId="0" borderId="20" xfId="42" applyNumberFormat="1" applyFont="1" applyBorder="1" applyAlignment="1"/>
    <xf numFmtId="164" fontId="0" fillId="0" borderId="84" xfId="42" applyNumberFormat="1" applyFont="1" applyBorder="1" applyAlignment="1"/>
    <xf numFmtId="0" fontId="2" fillId="38" borderId="20" xfId="0" applyFont="1" applyFill="1" applyBorder="1" applyAlignment="1">
      <alignment vertical="top"/>
    </xf>
    <xf numFmtId="15" fontId="22" fillId="0" borderId="0" xfId="0" applyNumberFormat="1" applyFont="1"/>
    <xf numFmtId="15" fontId="22" fillId="0" borderId="0" xfId="0" applyNumberFormat="1" applyFont="1" applyAlignment="1">
      <alignment horizontal="left"/>
    </xf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164" fontId="2" fillId="0" borderId="46" xfId="42" applyNumberFormat="1" applyFont="1" applyBorder="1" applyAlignment="1">
      <alignment vertical="top"/>
    </xf>
    <xf numFmtId="164" fontId="21" fillId="0" borderId="90" xfId="42" applyNumberFormat="1" applyFont="1" applyBorder="1"/>
    <xf numFmtId="164" fontId="0" fillId="0" borderId="90" xfId="42" applyNumberFormat="1" applyFont="1" applyBorder="1" applyAlignment="1"/>
    <xf numFmtId="164" fontId="2" fillId="0" borderId="70" xfId="42" applyNumberFormat="1" applyFont="1" applyBorder="1" applyAlignment="1">
      <alignment vertical="top"/>
    </xf>
    <xf numFmtId="164" fontId="21" fillId="0" borderId="69" xfId="42" applyNumberFormat="1" applyFont="1" applyBorder="1"/>
    <xf numFmtId="164" fontId="21" fillId="0" borderId="84" xfId="42" applyNumberFormat="1" applyFont="1" applyBorder="1"/>
    <xf numFmtId="164" fontId="25" fillId="0" borderId="69" xfId="42" applyNumberFormat="1" applyFont="1" applyBorder="1" applyAlignment="1">
      <alignment vertical="top"/>
    </xf>
    <xf numFmtId="164" fontId="0" fillId="0" borderId="99" xfId="42" applyNumberFormat="1" applyFont="1" applyBorder="1" applyAlignment="1"/>
    <xf numFmtId="164" fontId="4" fillId="0" borderId="100" xfId="0" applyNumberFormat="1" applyFont="1" applyBorder="1"/>
    <xf numFmtId="0" fontId="0" fillId="0" borderId="36" xfId="0" applyBorder="1"/>
    <xf numFmtId="164" fontId="0" fillId="0" borderId="36" xfId="42" applyNumberFormat="1" applyFont="1" applyBorder="1"/>
    <xf numFmtId="164" fontId="26" fillId="0" borderId="12" xfId="42" applyNumberFormat="1" applyFont="1" applyBorder="1" applyAlignment="1">
      <alignment horizontal="right"/>
    </xf>
    <xf numFmtId="165" fontId="26" fillId="0" borderId="40" xfId="43" applyNumberFormat="1" applyFont="1" applyBorder="1" applyAlignment="1">
      <alignment horizontal="right"/>
    </xf>
    <xf numFmtId="165" fontId="26" fillId="0" borderId="32" xfId="43" applyNumberFormat="1" applyFont="1" applyBorder="1" applyAlignment="1">
      <alignment horizontal="right"/>
    </xf>
    <xf numFmtId="165" fontId="26" fillId="0" borderId="53" xfId="43" applyNumberFormat="1" applyFont="1" applyBorder="1" applyAlignment="1">
      <alignment horizontal="right"/>
    </xf>
    <xf numFmtId="164" fontId="4" fillId="34" borderId="0" xfId="42" applyNumberFormat="1" applyFont="1" applyFill="1" applyBorder="1"/>
    <xf numFmtId="164" fontId="27" fillId="0" borderId="84" xfId="42" applyNumberFormat="1" applyFont="1" applyBorder="1"/>
    <xf numFmtId="164" fontId="27" fillId="0" borderId="26" xfId="42" applyNumberFormat="1" applyFont="1" applyBorder="1" applyAlignment="1">
      <alignment horizontal="right"/>
    </xf>
    <xf numFmtId="164" fontId="27" fillId="0" borderId="19" xfId="42" applyNumberFormat="1" applyFont="1" applyBorder="1" applyAlignment="1">
      <alignment horizontal="right"/>
    </xf>
    <xf numFmtId="164" fontId="27" fillId="0" borderId="24" xfId="42" applyNumberFormat="1" applyFont="1" applyBorder="1" applyAlignment="1">
      <alignment horizontal="right"/>
    </xf>
    <xf numFmtId="164" fontId="27" fillId="0" borderId="20" xfId="42" applyNumberFormat="1" applyFont="1" applyBorder="1" applyAlignment="1">
      <alignment horizontal="right"/>
    </xf>
    <xf numFmtId="164" fontId="27" fillId="0" borderId="77" xfId="42" applyNumberFormat="1" applyFont="1" applyBorder="1"/>
    <xf numFmtId="164" fontId="27" fillId="0" borderId="100" xfId="42" applyNumberFormat="1" applyFont="1" applyBorder="1"/>
    <xf numFmtId="164" fontId="27" fillId="0" borderId="47" xfId="42" applyNumberFormat="1" applyFont="1" applyBorder="1" applyAlignment="1">
      <alignment horizontal="right"/>
    </xf>
    <xf numFmtId="164" fontId="27" fillId="0" borderId="63" xfId="42" applyNumberFormat="1" applyFont="1" applyBorder="1" applyAlignment="1">
      <alignment horizontal="right"/>
    </xf>
    <xf numFmtId="164" fontId="27" fillId="0" borderId="78" xfId="42" applyNumberFormat="1" applyFont="1" applyBorder="1" applyAlignment="1">
      <alignment horizontal="right"/>
    </xf>
    <xf numFmtId="164" fontId="27" fillId="0" borderId="88" xfId="42" applyNumberFormat="1" applyFont="1" applyBorder="1" applyAlignment="1">
      <alignment horizontal="right"/>
    </xf>
    <xf numFmtId="164" fontId="27" fillId="0" borderId="76" xfId="42" applyNumberFormat="1" applyFont="1" applyBorder="1"/>
    <xf numFmtId="0" fontId="0" fillId="0" borderId="0" xfId="0" quotePrefix="1" applyAlignment="1">
      <alignment horizontal="left" vertical="top"/>
    </xf>
    <xf numFmtId="0" fontId="21" fillId="40" borderId="22" xfId="0" applyFont="1" applyFill="1" applyBorder="1" applyAlignment="1">
      <alignment horizontal="center" vertical="center"/>
    </xf>
    <xf numFmtId="0" fontId="21" fillId="40" borderId="23" xfId="0" applyFont="1" applyFill="1" applyBorder="1" applyAlignment="1"/>
    <xf numFmtId="164" fontId="21" fillId="40" borderId="16" xfId="42" applyNumberFormat="1" applyFont="1" applyFill="1" applyBorder="1" applyAlignment="1">
      <alignment horizontal="right"/>
    </xf>
    <xf numFmtId="164" fontId="21" fillId="40" borderId="12" xfId="42" applyNumberFormat="1" applyFont="1" applyFill="1" applyBorder="1" applyAlignment="1">
      <alignment horizontal="right"/>
    </xf>
    <xf numFmtId="164" fontId="21" fillId="40" borderId="23" xfId="42" applyNumberFormat="1" applyFont="1" applyFill="1" applyBorder="1" applyAlignment="1">
      <alignment horizontal="right"/>
    </xf>
    <xf numFmtId="164" fontId="0" fillId="40" borderId="10" xfId="42" applyNumberFormat="1" applyFont="1" applyFill="1" applyBorder="1" applyAlignment="1">
      <alignment horizontal="right"/>
    </xf>
    <xf numFmtId="165" fontId="26" fillId="40" borderId="10" xfId="43" applyNumberFormat="1" applyFont="1" applyFill="1" applyBorder="1" applyAlignment="1">
      <alignment horizontal="right"/>
    </xf>
    <xf numFmtId="164" fontId="21" fillId="40" borderId="12" xfId="42" applyNumberFormat="1" applyFont="1" applyFill="1" applyBorder="1" applyAlignment="1">
      <alignment horizontal="center" vertical="center"/>
    </xf>
    <xf numFmtId="0" fontId="0" fillId="40" borderId="29" xfId="0" applyFill="1" applyBorder="1" applyAlignment="1"/>
    <xf numFmtId="164" fontId="0" fillId="40" borderId="27" xfId="42" applyNumberFormat="1" applyFont="1" applyFill="1" applyBorder="1" applyAlignment="1">
      <alignment horizontal="right"/>
    </xf>
    <xf numFmtId="164" fontId="0" fillId="40" borderId="28" xfId="42" applyNumberFormat="1" applyFont="1" applyFill="1" applyBorder="1" applyAlignment="1">
      <alignment horizontal="right"/>
    </xf>
    <xf numFmtId="164" fontId="0" fillId="40" borderId="30" xfId="42" applyNumberFormat="1" applyFont="1" applyFill="1" applyBorder="1" applyAlignment="1">
      <alignment horizontal="right"/>
    </xf>
    <xf numFmtId="164" fontId="0" fillId="40" borderId="54" xfId="42" applyNumberFormat="1" applyFont="1" applyFill="1" applyBorder="1" applyAlignment="1">
      <alignment horizontal="right"/>
    </xf>
    <xf numFmtId="165" fontId="26" fillId="40" borderId="54" xfId="43" applyNumberFormat="1" applyFont="1" applyFill="1" applyBorder="1" applyAlignment="1">
      <alignment horizontal="right"/>
    </xf>
    <xf numFmtId="164" fontId="0" fillId="40" borderId="28" xfId="42" applyNumberFormat="1" applyFont="1" applyFill="1" applyBorder="1" applyAlignment="1">
      <alignment horizontal="center" vertical="center"/>
    </xf>
    <xf numFmtId="0" fontId="0" fillId="40" borderId="33" xfId="0" applyFill="1" applyBorder="1" applyAlignment="1"/>
    <xf numFmtId="164" fontId="0" fillId="40" borderId="52" xfId="42" applyNumberFormat="1" applyFont="1" applyFill="1" applyBorder="1" applyAlignment="1">
      <alignment horizontal="right"/>
    </xf>
    <xf numFmtId="164" fontId="0" fillId="40" borderId="58" xfId="42" applyNumberFormat="1" applyFont="1" applyFill="1" applyBorder="1" applyAlignment="1">
      <alignment horizontal="right"/>
    </xf>
    <xf numFmtId="164" fontId="0" fillId="40" borderId="32" xfId="42" applyNumberFormat="1" applyFont="1" applyFill="1" applyBorder="1" applyAlignment="1">
      <alignment horizontal="right"/>
    </xf>
    <xf numFmtId="165" fontId="26" fillId="40" borderId="32" xfId="43" applyNumberFormat="1" applyFont="1" applyFill="1" applyBorder="1" applyAlignment="1">
      <alignment horizontal="right"/>
    </xf>
    <xf numFmtId="164" fontId="0" fillId="40" borderId="54" xfId="42" applyNumberFormat="1" applyFont="1" applyFill="1" applyBorder="1" applyAlignment="1">
      <alignment horizontal="center" vertical="center"/>
    </xf>
    <xf numFmtId="0" fontId="0" fillId="40" borderId="56" xfId="0" applyFill="1" applyBorder="1" applyAlignment="1"/>
    <xf numFmtId="0" fontId="0" fillId="40" borderId="17" xfId="0" applyFill="1" applyBorder="1" applyAlignment="1"/>
    <xf numFmtId="164" fontId="0" fillId="40" borderId="16" xfId="42" applyNumberFormat="1" applyFont="1" applyFill="1" applyBorder="1" applyAlignment="1">
      <alignment horizontal="right"/>
    </xf>
    <xf numFmtId="164" fontId="0" fillId="40" borderId="12" xfId="42" applyNumberFormat="1" applyFont="1" applyFill="1" applyBorder="1" applyAlignment="1">
      <alignment horizontal="right"/>
    </xf>
    <xf numFmtId="164" fontId="0" fillId="40" borderId="23" xfId="42" applyNumberFormat="1" applyFont="1" applyFill="1" applyBorder="1" applyAlignment="1">
      <alignment horizontal="right"/>
    </xf>
    <xf numFmtId="164" fontId="0" fillId="40" borderId="53" xfId="42" applyNumberFormat="1" applyFont="1" applyFill="1" applyBorder="1" applyAlignment="1">
      <alignment horizontal="right"/>
    </xf>
    <xf numFmtId="165" fontId="26" fillId="40" borderId="53" xfId="43" applyNumberFormat="1" applyFont="1" applyFill="1" applyBorder="1" applyAlignment="1">
      <alignment horizontal="right"/>
    </xf>
    <xf numFmtId="164" fontId="0" fillId="40" borderId="12" xfId="42" applyNumberFormat="1" applyFont="1" applyFill="1" applyBorder="1" applyAlignment="1">
      <alignment horizontal="center" vertical="center"/>
    </xf>
    <xf numFmtId="0" fontId="0" fillId="40" borderId="25" xfId="0" applyFont="1" applyFill="1" applyBorder="1" applyAlignment="1">
      <alignment horizontal="center" vertical="center"/>
    </xf>
    <xf numFmtId="0" fontId="21" fillId="40" borderId="64" xfId="0" applyFont="1" applyFill="1" applyBorder="1" applyAlignment="1"/>
    <xf numFmtId="164" fontId="0" fillId="40" borderId="25" xfId="42" applyNumberFormat="1" applyFont="1" applyFill="1" applyBorder="1" applyAlignment="1">
      <alignment horizontal="right"/>
    </xf>
    <xf numFmtId="164" fontId="0" fillId="40" borderId="72" xfId="42" applyNumberFormat="1" applyFont="1" applyFill="1" applyBorder="1" applyAlignment="1">
      <alignment horizontal="right"/>
    </xf>
    <xf numFmtId="164" fontId="0" fillId="40" borderId="10" xfId="42" applyNumberFormat="1" applyFont="1" applyFill="1" applyBorder="1" applyAlignment="1">
      <alignment horizontal="center" vertical="center"/>
    </xf>
    <xf numFmtId="2" fontId="0" fillId="40" borderId="54" xfId="42" applyNumberFormat="1" applyFont="1" applyFill="1" applyBorder="1" applyAlignment="1">
      <alignment horizontal="center" vertical="center"/>
    </xf>
    <xf numFmtId="0" fontId="2" fillId="40" borderId="33" xfId="0" applyFont="1" applyFill="1" applyBorder="1" applyAlignment="1">
      <alignment vertical="top"/>
    </xf>
    <xf numFmtId="164" fontId="0" fillId="40" borderId="31" xfId="42" applyNumberFormat="1" applyFont="1" applyFill="1" applyBorder="1" applyAlignment="1">
      <alignment horizontal="right"/>
    </xf>
    <xf numFmtId="164" fontId="0" fillId="40" borderId="34" xfId="42" applyNumberFormat="1" applyFont="1" applyFill="1" applyBorder="1" applyAlignment="1">
      <alignment horizontal="right"/>
    </xf>
    <xf numFmtId="2" fontId="0" fillId="40" borderId="32" xfId="42" applyNumberFormat="1" applyFont="1" applyFill="1" applyBorder="1" applyAlignment="1">
      <alignment horizontal="center" vertical="center"/>
    </xf>
    <xf numFmtId="0" fontId="2" fillId="40" borderId="55" xfId="0" applyFont="1" applyFill="1" applyBorder="1" applyAlignment="1">
      <alignment vertical="top"/>
    </xf>
    <xf numFmtId="164" fontId="0" fillId="40" borderId="51" xfId="42" applyNumberFormat="1" applyFont="1" applyFill="1" applyBorder="1" applyAlignment="1">
      <alignment horizontal="right"/>
    </xf>
    <xf numFmtId="164" fontId="0" fillId="40" borderId="57" xfId="42" applyNumberFormat="1" applyFont="1" applyFill="1" applyBorder="1" applyAlignment="1">
      <alignment horizontal="right"/>
    </xf>
    <xf numFmtId="1" fontId="0" fillId="40" borderId="53" xfId="42" applyNumberFormat="1" applyFont="1" applyFill="1" applyBorder="1" applyAlignment="1">
      <alignment horizontal="center" vertical="center"/>
    </xf>
    <xf numFmtId="0" fontId="21" fillId="40" borderId="71" xfId="0" applyFont="1" applyFill="1" applyBorder="1" applyAlignment="1">
      <alignment horizontal="center" vertical="center"/>
    </xf>
    <xf numFmtId="0" fontId="21" fillId="40" borderId="72" xfId="0" applyFont="1" applyFill="1" applyBorder="1" applyAlignment="1"/>
    <xf numFmtId="164" fontId="21" fillId="40" borderId="25" xfId="42" applyNumberFormat="1" applyFont="1" applyFill="1" applyBorder="1" applyAlignment="1">
      <alignment horizontal="right"/>
    </xf>
    <xf numFmtId="164" fontId="21" fillId="40" borderId="10" xfId="42" applyNumberFormat="1" applyFont="1" applyFill="1" applyBorder="1" applyAlignment="1">
      <alignment horizontal="right"/>
    </xf>
    <xf numFmtId="164" fontId="21" fillId="40" borderId="72" xfId="42" applyNumberFormat="1" applyFont="1" applyFill="1" applyBorder="1" applyAlignment="1">
      <alignment horizontal="right"/>
    </xf>
    <xf numFmtId="165" fontId="26" fillId="40" borderId="11" xfId="43" applyNumberFormat="1" applyFont="1" applyFill="1" applyBorder="1" applyAlignment="1">
      <alignment horizontal="right"/>
    </xf>
    <xf numFmtId="164" fontId="21" fillId="40" borderId="10" xfId="42" applyNumberFormat="1" applyFont="1" applyFill="1" applyBorder="1" applyAlignment="1">
      <alignment horizontal="center" vertical="center"/>
    </xf>
    <xf numFmtId="0" fontId="27" fillId="40" borderId="18" xfId="0" applyFont="1" applyFill="1" applyBorder="1" applyAlignment="1">
      <alignment horizontal="center" vertical="center"/>
    </xf>
    <xf numFmtId="0" fontId="27" fillId="40" borderId="24" xfId="0" applyFont="1" applyFill="1" applyBorder="1" applyAlignment="1"/>
    <xf numFmtId="164" fontId="27" fillId="40" borderId="92" xfId="42" applyNumberFormat="1" applyFont="1" applyFill="1" applyBorder="1" applyAlignment="1">
      <alignment horizontal="right"/>
    </xf>
    <xf numFmtId="165" fontId="29" fillId="40" borderId="92" xfId="43" applyNumberFormat="1" applyFont="1" applyFill="1" applyBorder="1" applyAlignment="1">
      <alignment horizontal="right"/>
    </xf>
    <xf numFmtId="164" fontId="27" fillId="40" borderId="92" xfId="42" applyNumberFormat="1" applyFont="1" applyFill="1" applyBorder="1" applyAlignment="1">
      <alignment horizontal="center" vertical="center"/>
    </xf>
    <xf numFmtId="164" fontId="27" fillId="40" borderId="66" xfId="42" applyNumberFormat="1" applyFont="1" applyFill="1" applyBorder="1" applyAlignment="1">
      <alignment horizontal="right"/>
    </xf>
    <xf numFmtId="164" fontId="27" fillId="40" borderId="67" xfId="42" applyNumberFormat="1" applyFont="1" applyFill="1" applyBorder="1" applyAlignment="1">
      <alignment horizontal="right"/>
    </xf>
    <xf numFmtId="0" fontId="0" fillId="40" borderId="58" xfId="0" applyFill="1" applyBorder="1" applyAlignment="1"/>
    <xf numFmtId="0" fontId="0" fillId="40" borderId="33" xfId="0" applyFill="1" applyBorder="1"/>
    <xf numFmtId="0" fontId="0" fillId="40" borderId="37" xfId="0" applyFill="1" applyBorder="1"/>
    <xf numFmtId="0" fontId="25" fillId="40" borderId="64" xfId="0" applyFont="1" applyFill="1" applyBorder="1" applyAlignment="1">
      <alignment vertical="top"/>
    </xf>
    <xf numFmtId="164" fontId="0" fillId="40" borderId="54" xfId="42" quotePrefix="1" applyNumberFormat="1" applyFont="1" applyFill="1" applyBorder="1" applyAlignment="1">
      <alignment horizontal="center" vertical="center"/>
    </xf>
    <xf numFmtId="164" fontId="0" fillId="40" borderId="32" xfId="42" applyNumberFormat="1" applyFont="1" applyFill="1" applyBorder="1" applyAlignment="1">
      <alignment horizontal="center" vertical="center"/>
    </xf>
    <xf numFmtId="164" fontId="0" fillId="40" borderId="32" xfId="42" quotePrefix="1" applyNumberFormat="1" applyFont="1" applyFill="1" applyBorder="1" applyAlignment="1">
      <alignment horizontal="center" vertical="center"/>
    </xf>
    <xf numFmtId="0" fontId="21" fillId="40" borderId="25" xfId="0" applyFont="1" applyFill="1" applyBorder="1" applyAlignment="1">
      <alignment horizontal="center" vertical="center"/>
    </xf>
    <xf numFmtId="0" fontId="0" fillId="40" borderId="55" xfId="0" applyFill="1" applyBorder="1" applyAlignment="1">
      <alignment horizontal="left" vertical="center"/>
    </xf>
    <xf numFmtId="164" fontId="0" fillId="40" borderId="51" xfId="42" applyNumberFormat="1" applyFont="1" applyFill="1" applyBorder="1" applyAlignment="1">
      <alignment horizontal="right" vertical="center"/>
    </xf>
    <xf numFmtId="164" fontId="0" fillId="40" borderId="53" xfId="42" applyNumberFormat="1" applyFont="1" applyFill="1" applyBorder="1" applyAlignment="1">
      <alignment horizontal="right" vertical="center"/>
    </xf>
    <xf numFmtId="164" fontId="0" fillId="40" borderId="57" xfId="42" applyNumberFormat="1" applyFont="1" applyFill="1" applyBorder="1" applyAlignment="1">
      <alignment horizontal="right" vertical="center"/>
    </xf>
    <xf numFmtId="164" fontId="0" fillId="40" borderId="53" xfId="42" applyNumberFormat="1" applyFont="1" applyFill="1" applyBorder="1" applyAlignment="1">
      <alignment horizontal="center" vertical="center"/>
    </xf>
    <xf numFmtId="164" fontId="0" fillId="40" borderId="35" xfId="42" applyNumberFormat="1" applyFont="1" applyFill="1" applyBorder="1" applyAlignment="1">
      <alignment horizontal="right"/>
    </xf>
    <xf numFmtId="164" fontId="0" fillId="40" borderId="36" xfId="42" applyNumberFormat="1" applyFont="1" applyFill="1" applyBorder="1" applyAlignment="1">
      <alignment horizontal="right"/>
    </xf>
    <xf numFmtId="164" fontId="0" fillId="40" borderId="38" xfId="42" applyNumberFormat="1" applyFont="1" applyFill="1" applyBorder="1" applyAlignment="1">
      <alignment horizontal="right"/>
    </xf>
    <xf numFmtId="165" fontId="26" fillId="40" borderId="36" xfId="43" applyNumberFormat="1" applyFont="1" applyFill="1" applyBorder="1" applyAlignment="1">
      <alignment horizontal="right"/>
    </xf>
    <xf numFmtId="164" fontId="0" fillId="40" borderId="36" xfId="42" applyNumberFormat="1" applyFont="1" applyFill="1" applyBorder="1" applyAlignment="1">
      <alignment horizontal="center" vertical="center"/>
    </xf>
    <xf numFmtId="164" fontId="0" fillId="40" borderId="11" xfId="42" applyNumberFormat="1" applyFont="1" applyFill="1" applyBorder="1" applyAlignment="1">
      <alignment horizontal="right"/>
    </xf>
    <xf numFmtId="164" fontId="21" fillId="40" borderId="67" xfId="42" applyNumberFormat="1" applyFont="1" applyFill="1" applyBorder="1" applyAlignment="1">
      <alignment horizontal="right"/>
    </xf>
    <xf numFmtId="0" fontId="27" fillId="40" borderId="60" xfId="0" applyFont="1" applyFill="1" applyBorder="1" applyAlignment="1">
      <alignment horizontal="center" vertical="center"/>
    </xf>
    <xf numFmtId="0" fontId="27" fillId="40" borderId="93" xfId="0" applyFont="1" applyFill="1" applyBorder="1" applyAlignment="1"/>
    <xf numFmtId="164" fontId="27" fillId="40" borderId="59" xfId="42" applyNumberFormat="1" applyFont="1" applyFill="1" applyBorder="1" applyAlignment="1">
      <alignment horizontal="right"/>
    </xf>
    <xf numFmtId="164" fontId="27" fillId="40" borderId="61" xfId="42" applyNumberFormat="1" applyFont="1" applyFill="1" applyBorder="1" applyAlignment="1">
      <alignment horizontal="right"/>
    </xf>
    <xf numFmtId="164" fontId="27" fillId="40" borderId="93" xfId="42" applyNumberFormat="1" applyFont="1" applyFill="1" applyBorder="1" applyAlignment="1">
      <alignment horizontal="right"/>
    </xf>
    <xf numFmtId="165" fontId="29" fillId="40" borderId="40" xfId="43" applyNumberFormat="1" applyFont="1" applyFill="1" applyBorder="1" applyAlignment="1">
      <alignment horizontal="right"/>
    </xf>
    <xf numFmtId="164" fontId="27" fillId="40" borderId="61" xfId="42" applyNumberFormat="1" applyFont="1" applyFill="1" applyBorder="1" applyAlignment="1">
      <alignment horizontal="center" vertical="center"/>
    </xf>
    <xf numFmtId="0" fontId="27" fillId="40" borderId="94" xfId="0" applyFont="1" applyFill="1" applyBorder="1" applyAlignment="1">
      <alignment horizontal="center" vertical="center"/>
    </xf>
    <xf numFmtId="0" fontId="27" fillId="40" borderId="95" xfId="0" applyFont="1" applyFill="1" applyBorder="1" applyAlignment="1"/>
    <xf numFmtId="0" fontId="4" fillId="40" borderId="22" xfId="0" applyFont="1" applyFill="1" applyBorder="1" applyAlignment="1">
      <alignment horizontal="center"/>
    </xf>
    <xf numFmtId="0" fontId="4" fillId="40" borderId="23" xfId="0" applyFont="1" applyFill="1" applyBorder="1"/>
    <xf numFmtId="164" fontId="4" fillId="40" borderId="59" xfId="0" applyNumberFormat="1" applyFont="1" applyFill="1" applyBorder="1" applyAlignment="1">
      <alignment horizontal="right"/>
    </xf>
    <xf numFmtId="164" fontId="4" fillId="40" borderId="61" xfId="0" applyNumberFormat="1" applyFont="1" applyFill="1" applyBorder="1" applyAlignment="1">
      <alignment horizontal="right"/>
    </xf>
    <xf numFmtId="0" fontId="4" fillId="40" borderId="26" xfId="0" applyFont="1" applyFill="1" applyBorder="1" applyAlignment="1">
      <alignment horizontal="center"/>
    </xf>
    <xf numFmtId="0" fontId="4" fillId="40" borderId="24" xfId="0" applyFont="1" applyFill="1" applyBorder="1"/>
    <xf numFmtId="164" fontId="4" fillId="40" borderId="67" xfId="0" applyNumberFormat="1" applyFont="1" applyFill="1" applyBorder="1" applyAlignment="1">
      <alignment horizontal="right"/>
    </xf>
    <xf numFmtId="9" fontId="0" fillId="0" borderId="40" xfId="43" applyFont="1" applyBorder="1" applyAlignment="1">
      <alignment horizontal="right"/>
    </xf>
    <xf numFmtId="9" fontId="0" fillId="0" borderId="32" xfId="43" applyFont="1" applyBorder="1" applyAlignment="1">
      <alignment horizontal="right"/>
    </xf>
    <xf numFmtId="9" fontId="0" fillId="0" borderId="53" xfId="43" applyFont="1" applyBorder="1" applyAlignment="1">
      <alignment horizontal="right"/>
    </xf>
    <xf numFmtId="9" fontId="0" fillId="0" borderId="19" xfId="43" applyFont="1" applyBorder="1" applyAlignment="1">
      <alignment horizontal="right"/>
    </xf>
    <xf numFmtId="9" fontId="0" fillId="0" borderId="39" xfId="43" applyFont="1" applyBorder="1" applyAlignment="1">
      <alignment horizontal="right"/>
    </xf>
    <xf numFmtId="9" fontId="0" fillId="0" borderId="52" xfId="43" applyFont="1" applyBorder="1" applyAlignment="1">
      <alignment horizontal="right"/>
    </xf>
    <xf numFmtId="9" fontId="0" fillId="0" borderId="16" xfId="43" applyFont="1" applyBorder="1" applyAlignment="1">
      <alignment horizontal="right"/>
    </xf>
    <xf numFmtId="9" fontId="0" fillId="0" borderId="69" xfId="43" applyFont="1" applyBorder="1" applyAlignment="1">
      <alignment horizontal="right"/>
    </xf>
    <xf numFmtId="9" fontId="0" fillId="0" borderId="98" xfId="43" applyFont="1" applyBorder="1" applyAlignment="1">
      <alignment horizontal="right"/>
    </xf>
    <xf numFmtId="9" fontId="0" fillId="0" borderId="84" xfId="43" applyFont="1" applyBorder="1" applyAlignment="1">
      <alignment horizontal="right"/>
    </xf>
    <xf numFmtId="0" fontId="3" fillId="0" borderId="1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164" fontId="0" fillId="0" borderId="101" xfId="42" applyNumberFormat="1" applyFont="1" applyBorder="1" applyAlignment="1">
      <alignment horizontal="right"/>
    </xf>
    <xf numFmtId="164" fontId="0" fillId="0" borderId="99" xfId="42" applyNumberFormat="1" applyFont="1" applyBorder="1" applyAlignment="1">
      <alignment horizontal="right"/>
    </xf>
    <xf numFmtId="164" fontId="0" fillId="0" borderId="90" xfId="42" applyNumberFormat="1" applyFont="1" applyBorder="1" applyAlignment="1">
      <alignment horizontal="right"/>
    </xf>
    <xf numFmtId="164" fontId="0" fillId="0" borderId="83" xfId="42" applyNumberFormat="1" applyFont="1" applyBorder="1" applyAlignment="1">
      <alignment horizontal="right"/>
    </xf>
    <xf numFmtId="164" fontId="4" fillId="40" borderId="63" xfId="0" applyNumberFormat="1" applyFont="1" applyFill="1" applyBorder="1" applyAlignment="1">
      <alignment horizontal="right"/>
    </xf>
    <xf numFmtId="164" fontId="4" fillId="40" borderId="19" xfId="0" applyNumberFormat="1" applyFont="1" applyFill="1" applyBorder="1" applyAlignment="1">
      <alignment horizontal="right"/>
    </xf>
    <xf numFmtId="165" fontId="29" fillId="40" borderId="19" xfId="43" applyNumberFormat="1" applyFont="1" applyFill="1" applyBorder="1" applyAlignment="1">
      <alignment horizontal="right"/>
    </xf>
    <xf numFmtId="164" fontId="4" fillId="40" borderId="19" xfId="0" applyNumberFormat="1" applyFont="1" applyFill="1" applyBorder="1" applyAlignment="1">
      <alignment horizontal="center" vertical="center"/>
    </xf>
    <xf numFmtId="0" fontId="0" fillId="0" borderId="102" xfId="0" applyBorder="1"/>
    <xf numFmtId="164" fontId="0" fillId="0" borderId="102" xfId="42" applyNumberFormat="1" applyFont="1" applyBorder="1"/>
    <xf numFmtId="0" fontId="0" fillId="0" borderId="12" xfId="0" applyBorder="1"/>
    <xf numFmtId="0" fontId="0" fillId="0" borderId="10" xfId="0" applyBorder="1" applyAlignment="1">
      <alignment horizontal="center" vertical="center"/>
    </xf>
    <xf numFmtId="164" fontId="0" fillId="0" borderId="10" xfId="42" applyNumberFormat="1" applyFont="1" applyBorder="1"/>
    <xf numFmtId="164" fontId="0" fillId="0" borderId="10" xfId="0" applyNumberFormat="1" applyBorder="1"/>
    <xf numFmtId="164" fontId="0" fillId="0" borderId="28" xfId="0" applyNumberFormat="1" applyBorder="1"/>
    <xf numFmtId="0" fontId="0" fillId="0" borderId="32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4" fontId="0" fillId="0" borderId="11" xfId="0" applyNumberFormat="1" applyBorder="1"/>
    <xf numFmtId="0" fontId="0" fillId="0" borderId="54" xfId="0" applyFont="1" applyBorder="1" applyAlignment="1">
      <alignment horizontal="center" vertical="center"/>
    </xf>
    <xf numFmtId="164" fontId="0" fillId="0" borderId="11" xfId="42" applyNumberFormat="1" applyFont="1" applyBorder="1"/>
    <xf numFmtId="0" fontId="0" fillId="0" borderId="23" xfId="0" applyBorder="1" applyAlignment="1"/>
    <xf numFmtId="0" fontId="0" fillId="0" borderId="22" xfId="0" applyBorder="1" applyAlignment="1"/>
    <xf numFmtId="164" fontId="2" fillId="0" borderId="99" xfId="42" quotePrefix="1" applyNumberFormat="1" applyFont="1" applyBorder="1" applyAlignment="1">
      <alignment horizontal="center" vertical="center"/>
    </xf>
    <xf numFmtId="164" fontId="2" fillId="0" borderId="75" xfId="42" quotePrefix="1" applyNumberFormat="1" applyFont="1" applyBorder="1" applyAlignment="1">
      <alignment horizontal="center" vertical="center"/>
    </xf>
    <xf numFmtId="164" fontId="0" fillId="0" borderId="64" xfId="42" applyNumberFormat="1" applyFont="1" applyBorder="1"/>
    <xf numFmtId="0" fontId="0" fillId="0" borderId="36" xfId="0" applyFont="1" applyBorder="1" applyAlignment="1">
      <alignment horizontal="center" vertical="center"/>
    </xf>
    <xf numFmtId="0" fontId="0" fillId="0" borderId="36" xfId="0" applyFont="1" applyBorder="1"/>
    <xf numFmtId="164" fontId="21" fillId="0" borderId="36" xfId="42" applyNumberFormat="1" applyFont="1" applyBorder="1"/>
    <xf numFmtId="164" fontId="21" fillId="0" borderId="36" xfId="0" applyNumberFormat="1" applyFont="1" applyBorder="1"/>
    <xf numFmtId="164" fontId="0" fillId="0" borderId="15" xfId="42" applyNumberFormat="1" applyFont="1" applyBorder="1"/>
    <xf numFmtId="0" fontId="0" fillId="0" borderId="102" xfId="0" applyFont="1" applyBorder="1" applyAlignment="1">
      <alignment horizontal="center" vertical="center"/>
    </xf>
    <xf numFmtId="164" fontId="0" fillId="0" borderId="102" xfId="0" applyNumberFormat="1" applyBorder="1"/>
    <xf numFmtId="164" fontId="0" fillId="0" borderId="104" xfId="42" applyNumberFormat="1" applyFont="1" applyBorder="1"/>
    <xf numFmtId="0" fontId="27" fillId="0" borderId="19" xfId="0" applyFont="1" applyBorder="1" applyAlignment="1">
      <alignment horizontal="center" vertical="center"/>
    </xf>
    <xf numFmtId="0" fontId="4" fillId="0" borderId="19" xfId="0" applyFont="1" applyBorder="1"/>
    <xf numFmtId="164" fontId="27" fillId="0" borderId="19" xfId="0" applyNumberFormat="1" applyFont="1" applyBorder="1"/>
    <xf numFmtId="164" fontId="4" fillId="0" borderId="19" xfId="42" applyNumberFormat="1" applyFont="1" applyBorder="1"/>
    <xf numFmtId="164" fontId="4" fillId="0" borderId="19" xfId="0" applyNumberFormat="1" applyFont="1" applyBorder="1"/>
    <xf numFmtId="164" fontId="4" fillId="0" borderId="20" xfId="42" applyNumberFormat="1" applyFont="1" applyBorder="1"/>
    <xf numFmtId="0" fontId="4" fillId="0" borderId="19" xfId="0" applyFont="1" applyBorder="1" applyAlignment="1">
      <alignment horizontal="center"/>
    </xf>
    <xf numFmtId="164" fontId="0" fillId="0" borderId="85" xfId="42" applyNumberFormat="1" applyFont="1" applyBorder="1" applyAlignment="1">
      <alignment horizontal="left"/>
    </xf>
    <xf numFmtId="164" fontId="21" fillId="40" borderId="106" xfId="42" applyNumberFormat="1" applyFont="1" applyFill="1" applyBorder="1" applyAlignment="1">
      <alignment horizontal="right"/>
    </xf>
    <xf numFmtId="164" fontId="21" fillId="40" borderId="107" xfId="42" applyNumberFormat="1" applyFont="1" applyFill="1" applyBorder="1" applyAlignment="1">
      <alignment horizontal="right"/>
    </xf>
    <xf numFmtId="164" fontId="21" fillId="40" borderId="108" xfId="42" applyNumberFormat="1" applyFont="1" applyFill="1" applyBorder="1" applyAlignment="1">
      <alignment horizontal="right"/>
    </xf>
    <xf numFmtId="164" fontId="21" fillId="40" borderId="109" xfId="42" applyNumberFormat="1" applyFont="1" applyFill="1" applyBorder="1" applyAlignment="1">
      <alignment horizontal="right"/>
    </xf>
    <xf numFmtId="164" fontId="21" fillId="40" borderId="11" xfId="42" applyNumberFormat="1" applyFont="1" applyFill="1" applyBorder="1" applyAlignment="1">
      <alignment horizontal="right"/>
    </xf>
    <xf numFmtId="0" fontId="4" fillId="40" borderId="47" xfId="0" applyFont="1" applyFill="1" applyBorder="1" applyAlignment="1">
      <alignment horizontal="center"/>
    </xf>
    <xf numFmtId="0" fontId="4" fillId="40" borderId="78" xfId="0" applyFont="1" applyFill="1" applyBorder="1"/>
    <xf numFmtId="164" fontId="4" fillId="34" borderId="14" xfId="42" applyNumberFormat="1" applyFont="1" applyFill="1" applyBorder="1"/>
    <xf numFmtId="0" fontId="4" fillId="40" borderId="110" xfId="0" applyFont="1" applyFill="1" applyBorder="1" applyAlignment="1">
      <alignment horizontal="center"/>
    </xf>
    <xf numFmtId="164" fontId="4" fillId="34" borderId="89" xfId="42" applyNumberFormat="1" applyFont="1" applyFill="1" applyBorder="1"/>
    <xf numFmtId="164" fontId="2" fillId="0" borderId="84" xfId="42" quotePrefix="1" applyNumberFormat="1" applyFont="1" applyBorder="1" applyAlignment="1">
      <alignment horizontal="center" vertical="center"/>
    </xf>
    <xf numFmtId="0" fontId="2" fillId="0" borderId="92" xfId="0" applyFont="1" applyBorder="1" applyAlignment="1">
      <alignment vertical="top"/>
    </xf>
    <xf numFmtId="164" fontId="0" fillId="0" borderId="92" xfId="42" applyNumberFormat="1" applyFont="1" applyBorder="1" applyAlignment="1">
      <alignment horizontal="right"/>
    </xf>
    <xf numFmtId="0" fontId="0" fillId="34" borderId="92" xfId="0" applyFill="1" applyBorder="1"/>
    <xf numFmtId="164" fontId="2" fillId="0" borderId="92" xfId="42" quotePrefix="1" applyNumberFormat="1" applyFont="1" applyBorder="1" applyAlignment="1">
      <alignment horizontal="center" vertical="center"/>
    </xf>
    <xf numFmtId="164" fontId="2" fillId="0" borderId="111" xfId="42" quotePrefix="1" applyNumberFormat="1" applyFont="1" applyBorder="1" applyAlignment="1">
      <alignment horizontal="left" vertical="center"/>
    </xf>
    <xf numFmtId="0" fontId="2" fillId="0" borderId="10" xfId="0" applyFont="1" applyBorder="1" applyAlignment="1">
      <alignment vertical="top"/>
    </xf>
    <xf numFmtId="0" fontId="0" fillId="34" borderId="10" xfId="0" applyFill="1" applyBorder="1"/>
    <xf numFmtId="164" fontId="2" fillId="0" borderId="10" xfId="42" quotePrefix="1" applyNumberFormat="1" applyFont="1" applyBorder="1" applyAlignment="1">
      <alignment horizontal="center" vertical="center"/>
    </xf>
    <xf numFmtId="164" fontId="2" fillId="0" borderId="64" xfId="42" quotePrefix="1" applyNumberFormat="1" applyFont="1" applyBorder="1" applyAlignment="1">
      <alignment horizontal="left" vertical="center"/>
    </xf>
    <xf numFmtId="0" fontId="21" fillId="40" borderId="10" xfId="0" applyFont="1" applyFill="1" applyBorder="1" applyAlignment="1"/>
    <xf numFmtId="0" fontId="0" fillId="40" borderId="10" xfId="0" applyFill="1" applyBorder="1" applyAlignment="1"/>
    <xf numFmtId="164" fontId="0" fillId="34" borderId="10" xfId="42" applyNumberFormat="1" applyFont="1" applyFill="1" applyBorder="1"/>
    <xf numFmtId="164" fontId="2" fillId="0" borderId="64" xfId="42" quotePrefix="1" applyNumberFormat="1" applyFont="1" applyBorder="1" applyAlignment="1">
      <alignment horizontal="left" vertical="center" wrapText="1"/>
    </xf>
    <xf numFmtId="0" fontId="2" fillId="40" borderId="10" xfId="0" applyFont="1" applyFill="1" applyBorder="1" applyAlignment="1">
      <alignment vertical="top"/>
    </xf>
    <xf numFmtId="0" fontId="27" fillId="40" borderId="25" xfId="0" applyFont="1" applyFill="1" applyBorder="1" applyAlignment="1">
      <alignment horizontal="center" vertical="center"/>
    </xf>
    <xf numFmtId="0" fontId="27" fillId="40" borderId="10" xfId="0" applyFont="1" applyFill="1" applyBorder="1" applyAlignment="1"/>
    <xf numFmtId="0" fontId="0" fillId="40" borderId="10" xfId="0" applyFill="1" applyBorder="1"/>
    <xf numFmtId="0" fontId="25" fillId="40" borderId="10" xfId="0" applyFont="1" applyFill="1" applyBorder="1" applyAlignment="1">
      <alignment vertical="top"/>
    </xf>
    <xf numFmtId="0" fontId="21" fillId="34" borderId="10" xfId="0" applyFont="1" applyFill="1" applyBorder="1"/>
    <xf numFmtId="0" fontId="0" fillId="40" borderId="10" xfId="0" applyFill="1" applyBorder="1" applyAlignment="1">
      <alignment horizontal="left" vertical="center"/>
    </xf>
    <xf numFmtId="0" fontId="21" fillId="40" borderId="66" xfId="0" applyFont="1" applyFill="1" applyBorder="1" applyAlignment="1">
      <alignment horizontal="center" vertical="center"/>
    </xf>
    <xf numFmtId="0" fontId="21" fillId="40" borderId="67" xfId="0" applyFont="1" applyFill="1" applyBorder="1" applyAlignment="1"/>
    <xf numFmtId="164" fontId="0" fillId="0" borderId="67" xfId="42" applyNumberFormat="1" applyFont="1" applyBorder="1" applyAlignment="1">
      <alignment horizontal="right"/>
    </xf>
    <xf numFmtId="164" fontId="0" fillId="34" borderId="67" xfId="42" applyNumberFormat="1" applyFont="1" applyFill="1" applyBorder="1"/>
    <xf numFmtId="164" fontId="2" fillId="0" borderId="67" xfId="42" quotePrefix="1" applyNumberFormat="1" applyFont="1" applyBorder="1" applyAlignment="1">
      <alignment horizontal="center" vertical="center"/>
    </xf>
    <xf numFmtId="164" fontId="2" fillId="0" borderId="68" xfId="42" quotePrefix="1" applyNumberFormat="1" applyFont="1" applyBorder="1" applyAlignment="1">
      <alignment horizontal="left" vertical="center"/>
    </xf>
    <xf numFmtId="0" fontId="3" fillId="0" borderId="12" xfId="0" quotePrefix="1" applyFont="1" applyBorder="1" applyAlignment="1">
      <alignment horizontal="center" vertical="top"/>
    </xf>
    <xf numFmtId="164" fontId="27" fillId="40" borderId="19" xfId="42" applyNumberFormat="1" applyFont="1" applyFill="1" applyBorder="1" applyAlignment="1">
      <alignment horizontal="right"/>
    </xf>
    <xf numFmtId="164" fontId="27" fillId="42" borderId="67" xfId="42" applyNumberFormat="1" applyFont="1" applyFill="1" applyBorder="1" applyAlignment="1">
      <alignment horizontal="right"/>
    </xf>
    <xf numFmtId="164" fontId="27" fillId="42" borderId="67" xfId="42" applyNumberFormat="1" applyFont="1" applyFill="1" applyBorder="1" applyAlignment="1">
      <alignment horizontal="center" vertical="center"/>
    </xf>
    <xf numFmtId="164" fontId="4" fillId="42" borderId="63" xfId="0" applyNumberFormat="1" applyFont="1" applyFill="1" applyBorder="1" applyAlignment="1">
      <alignment horizontal="right"/>
    </xf>
    <xf numFmtId="164" fontId="4" fillId="42" borderId="88" xfId="0" applyNumberFormat="1" applyFont="1" applyFill="1" applyBorder="1" applyAlignment="1">
      <alignment horizontal="center" vertical="center"/>
    </xf>
    <xf numFmtId="164" fontId="2" fillId="0" borderId="70" xfId="42" quotePrefix="1" applyNumberFormat="1" applyFont="1" applyBorder="1" applyAlignment="1">
      <alignment horizontal="center" vertical="center"/>
    </xf>
    <xf numFmtId="164" fontId="26" fillId="0" borderId="51" xfId="42" applyNumberFormat="1" applyFont="1" applyBorder="1" applyAlignment="1">
      <alignment horizontal="right"/>
    </xf>
    <xf numFmtId="164" fontId="26" fillId="0" borderId="55" xfId="42" applyNumberFormat="1" applyFont="1" applyBorder="1" applyAlignment="1">
      <alignment horizontal="right"/>
    </xf>
    <xf numFmtId="164" fontId="4" fillId="40" borderId="47" xfId="0" applyNumberFormat="1" applyFont="1" applyFill="1" applyBorder="1" applyAlignment="1">
      <alignment horizontal="right"/>
    </xf>
    <xf numFmtId="0" fontId="21" fillId="40" borderId="91" xfId="0" applyFont="1" applyFill="1" applyBorder="1" applyAlignment="1">
      <alignment horizontal="center" vertical="center"/>
    </xf>
    <xf numFmtId="0" fontId="21" fillId="40" borderId="92" xfId="0" applyFont="1" applyFill="1" applyBorder="1" applyAlignment="1"/>
    <xf numFmtId="164" fontId="21" fillId="40" borderId="92" xfId="42" applyNumberFormat="1" applyFont="1" applyFill="1" applyBorder="1" applyAlignment="1">
      <alignment horizontal="right"/>
    </xf>
    <xf numFmtId="164" fontId="0" fillId="40" borderId="92" xfId="42" applyNumberFormat="1" applyFont="1" applyFill="1" applyBorder="1" applyAlignment="1">
      <alignment horizontal="right"/>
    </xf>
    <xf numFmtId="165" fontId="26" fillId="40" borderId="92" xfId="43" applyNumberFormat="1" applyFont="1" applyFill="1" applyBorder="1" applyAlignment="1">
      <alignment horizontal="right"/>
    </xf>
    <xf numFmtId="164" fontId="21" fillId="40" borderId="92" xfId="42" applyNumberFormat="1" applyFont="1" applyFill="1" applyBorder="1" applyAlignment="1">
      <alignment horizontal="center" vertical="center"/>
    </xf>
    <xf numFmtId="164" fontId="21" fillId="0" borderId="92" xfId="42" applyNumberFormat="1" applyFont="1" applyBorder="1"/>
    <xf numFmtId="164" fontId="21" fillId="0" borderId="92" xfId="42" applyNumberFormat="1" applyFont="1" applyBorder="1" applyAlignment="1">
      <alignment horizontal="right"/>
    </xf>
    <xf numFmtId="164" fontId="0" fillId="0" borderId="111" xfId="42" applyNumberFormat="1" applyFont="1" applyBorder="1" applyAlignment="1">
      <alignment horizontal="right"/>
    </xf>
    <xf numFmtId="164" fontId="0" fillId="0" borderId="10" xfId="42" applyNumberFormat="1" applyFont="1" applyBorder="1" applyAlignment="1"/>
    <xf numFmtId="2" fontId="0" fillId="40" borderId="10" xfId="42" applyNumberFormat="1" applyFont="1" applyFill="1" applyBorder="1" applyAlignment="1">
      <alignment horizontal="center" vertical="center"/>
    </xf>
    <xf numFmtId="164" fontId="2" fillId="0" borderId="10" xfId="42" applyNumberFormat="1" applyFont="1" applyBorder="1" applyAlignment="1">
      <alignment vertical="top"/>
    </xf>
    <xf numFmtId="1" fontId="0" fillId="40" borderId="10" xfId="42" applyNumberFormat="1" applyFont="1" applyFill="1" applyBorder="1" applyAlignment="1">
      <alignment horizontal="center" vertical="center"/>
    </xf>
    <xf numFmtId="164" fontId="27" fillId="40" borderId="10" xfId="42" applyNumberFormat="1" applyFont="1" applyFill="1" applyBorder="1" applyAlignment="1">
      <alignment horizontal="right"/>
    </xf>
    <xf numFmtId="165" fontId="29" fillId="40" borderId="10" xfId="43" applyNumberFormat="1" applyFont="1" applyFill="1" applyBorder="1" applyAlignment="1">
      <alignment horizontal="right"/>
    </xf>
    <xf numFmtId="164" fontId="27" fillId="40" borderId="10" xfId="42" applyNumberFormat="1" applyFont="1" applyFill="1" applyBorder="1" applyAlignment="1">
      <alignment horizontal="center" vertical="center"/>
    </xf>
    <xf numFmtId="164" fontId="27" fillId="42" borderId="10" xfId="42" applyNumberFormat="1" applyFont="1" applyFill="1" applyBorder="1" applyAlignment="1">
      <alignment horizontal="right"/>
    </xf>
    <xf numFmtId="164" fontId="27" fillId="42" borderId="10" xfId="42" applyNumberFormat="1" applyFont="1" applyFill="1" applyBorder="1" applyAlignment="1">
      <alignment horizontal="center" vertical="center"/>
    </xf>
    <xf numFmtId="164" fontId="25" fillId="0" borderId="10" xfId="42" applyNumberFormat="1" applyFont="1" applyBorder="1" applyAlignment="1">
      <alignment vertical="top"/>
    </xf>
    <xf numFmtId="164" fontId="0" fillId="40" borderId="10" xfId="42" quotePrefix="1" applyNumberFormat="1" applyFont="1" applyFill="1" applyBorder="1" applyAlignment="1">
      <alignment horizontal="center" vertical="center"/>
    </xf>
    <xf numFmtId="164" fontId="0" fillId="0" borderId="10" xfId="42" applyNumberFormat="1" applyFont="1" applyBorder="1" applyAlignment="1">
      <alignment horizontal="left"/>
    </xf>
    <xf numFmtId="164" fontId="0" fillId="40" borderId="10" xfId="42" applyNumberFormat="1" applyFont="1" applyFill="1" applyBorder="1" applyAlignment="1">
      <alignment horizontal="right" vertical="center"/>
    </xf>
    <xf numFmtId="164" fontId="0" fillId="0" borderId="10" xfId="42" applyNumberFormat="1" applyFont="1" applyFill="1" applyBorder="1" applyAlignment="1">
      <alignment horizontal="right"/>
    </xf>
    <xf numFmtId="164" fontId="4" fillId="34" borderId="10" xfId="42" applyNumberFormat="1" applyFont="1" applyFill="1" applyBorder="1"/>
    <xf numFmtId="164" fontId="27" fillId="0" borderId="10" xfId="42" applyNumberFormat="1" applyFont="1" applyBorder="1"/>
    <xf numFmtId="164" fontId="27" fillId="0" borderId="10" xfId="42" applyNumberFormat="1" applyFont="1" applyBorder="1" applyAlignment="1">
      <alignment horizontal="right"/>
    </xf>
    <xf numFmtId="0" fontId="4" fillId="40" borderId="66" xfId="0" applyFont="1" applyFill="1" applyBorder="1" applyAlignment="1">
      <alignment horizontal="center"/>
    </xf>
    <xf numFmtId="0" fontId="4" fillId="40" borderId="67" xfId="0" applyFont="1" applyFill="1" applyBorder="1"/>
    <xf numFmtId="165" fontId="29" fillId="40" borderId="67" xfId="43" applyNumberFormat="1" applyFont="1" applyFill="1" applyBorder="1" applyAlignment="1">
      <alignment horizontal="right"/>
    </xf>
    <xf numFmtId="164" fontId="4" fillId="40" borderId="67" xfId="0" applyNumberFormat="1" applyFont="1" applyFill="1" applyBorder="1" applyAlignment="1">
      <alignment horizontal="center" vertical="center"/>
    </xf>
    <xf numFmtId="164" fontId="4" fillId="34" borderId="67" xfId="42" applyNumberFormat="1" applyFont="1" applyFill="1" applyBorder="1"/>
    <xf numFmtId="164" fontId="4" fillId="0" borderId="67" xfId="0" applyNumberFormat="1" applyFont="1" applyBorder="1"/>
    <xf numFmtId="164" fontId="4" fillId="0" borderId="64" xfId="42" applyNumberFormat="1" applyFont="1" applyBorder="1" applyAlignment="1">
      <alignment horizontal="right"/>
    </xf>
    <xf numFmtId="164" fontId="4" fillId="0" borderId="68" xfId="42" applyNumberFormat="1" applyFont="1" applyBorder="1" applyAlignment="1">
      <alignment horizontal="right"/>
    </xf>
    <xf numFmtId="0" fontId="4" fillId="0" borderId="11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top"/>
    </xf>
    <xf numFmtId="164" fontId="0" fillId="0" borderId="113" xfId="42" applyNumberFormat="1" applyFont="1" applyBorder="1"/>
    <xf numFmtId="164" fontId="0" fillId="0" borderId="114" xfId="42" applyNumberFormat="1" applyFont="1" applyBorder="1"/>
    <xf numFmtId="164" fontId="0" fillId="0" borderId="115" xfId="42" applyNumberFormat="1" applyFont="1" applyBorder="1"/>
    <xf numFmtId="164" fontId="21" fillId="0" borderId="116" xfId="42" applyNumberFormat="1" applyFont="1" applyBorder="1"/>
    <xf numFmtId="164" fontId="0" fillId="0" borderId="72" xfId="42" applyNumberFormat="1" applyFont="1" applyBorder="1" applyAlignment="1">
      <alignment wrapText="1"/>
    </xf>
    <xf numFmtId="164" fontId="0" fillId="0" borderId="72" xfId="42" applyNumberFormat="1" applyFont="1" applyBorder="1"/>
    <xf numFmtId="0" fontId="0" fillId="0" borderId="72" xfId="0" applyBorder="1"/>
    <xf numFmtId="164" fontId="27" fillId="0" borderId="72" xfId="42" applyNumberFormat="1" applyFont="1" applyBorder="1"/>
    <xf numFmtId="164" fontId="4" fillId="0" borderId="95" xfId="0" applyNumberFormat="1" applyFont="1" applyBorder="1"/>
    <xf numFmtId="164" fontId="0" fillId="0" borderId="62" xfId="42" applyNumberFormat="1" applyFont="1" applyBorder="1" applyAlignment="1">
      <alignment horizontal="right"/>
    </xf>
    <xf numFmtId="0" fontId="33" fillId="0" borderId="0" xfId="0" applyFont="1"/>
    <xf numFmtId="0" fontId="33" fillId="42" borderId="14" xfId="0" applyFont="1" applyFill="1" applyBorder="1"/>
    <xf numFmtId="0" fontId="33" fillId="42" borderId="0" xfId="0" applyFont="1" applyFill="1" applyBorder="1"/>
    <xf numFmtId="164" fontId="33" fillId="42" borderId="0" xfId="42" applyNumberFormat="1" applyFont="1" applyFill="1" applyBorder="1"/>
    <xf numFmtId="0" fontId="26" fillId="42" borderId="0" xfId="0" applyFont="1" applyFill="1" applyBorder="1"/>
    <xf numFmtId="164" fontId="3" fillId="42" borderId="0" xfId="42" applyNumberFormat="1" applyFont="1" applyFill="1" applyBorder="1"/>
    <xf numFmtId="164" fontId="0" fillId="0" borderId="50" xfId="42" applyNumberFormat="1" applyFont="1" applyBorder="1" applyAlignment="1">
      <alignment horizontal="right"/>
    </xf>
    <xf numFmtId="164" fontId="2" fillId="0" borderId="85" xfId="42" quotePrefix="1" applyNumberFormat="1" applyFont="1" applyBorder="1" applyAlignment="1">
      <alignment horizontal="left" vertical="center"/>
    </xf>
    <xf numFmtId="164" fontId="2" fillId="0" borderId="60" xfId="42" quotePrefix="1" applyNumberFormat="1" applyFont="1" applyBorder="1" applyAlignment="1">
      <alignment horizontal="left" vertical="center"/>
    </xf>
    <xf numFmtId="164" fontId="4" fillId="42" borderId="78" xfId="0" applyNumberFormat="1" applyFont="1" applyFill="1" applyBorder="1" applyAlignment="1">
      <alignment horizontal="right"/>
    </xf>
    <xf numFmtId="164" fontId="29" fillId="0" borderId="40" xfId="42" applyNumberFormat="1" applyFont="1" applyBorder="1" applyAlignment="1">
      <alignment horizontal="right"/>
    </xf>
    <xf numFmtId="164" fontId="26" fillId="0" borderId="67" xfId="42" applyNumberFormat="1" applyFont="1" applyBorder="1" applyAlignment="1">
      <alignment horizontal="right"/>
    </xf>
    <xf numFmtId="164" fontId="29" fillId="0" borderId="92" xfId="42" applyNumberFormat="1" applyFont="1" applyBorder="1" applyAlignment="1">
      <alignment horizontal="right"/>
    </xf>
    <xf numFmtId="164" fontId="3" fillId="0" borderId="19" xfId="42" applyNumberFormat="1" applyFont="1" applyBorder="1" applyAlignment="1">
      <alignment horizontal="right"/>
    </xf>
    <xf numFmtId="164" fontId="27" fillId="40" borderId="26" xfId="42" applyNumberFormat="1" applyFont="1" applyFill="1" applyBorder="1" applyAlignment="1">
      <alignment horizontal="right"/>
    </xf>
    <xf numFmtId="164" fontId="4" fillId="40" borderId="26" xfId="0" applyNumberFormat="1" applyFont="1" applyFill="1" applyBorder="1" applyAlignment="1">
      <alignment horizontal="right"/>
    </xf>
    <xf numFmtId="164" fontId="2" fillId="0" borderId="75" xfId="42" quotePrefix="1" applyNumberFormat="1" applyFont="1" applyBorder="1" applyAlignment="1">
      <alignment horizontal="left" vertical="center"/>
    </xf>
    <xf numFmtId="2" fontId="0" fillId="0" borderId="0" xfId="0" applyNumberFormat="1"/>
    <xf numFmtId="0" fontId="4" fillId="0" borderId="17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4" fillId="0" borderId="103" xfId="0" applyFont="1" applyBorder="1" applyAlignment="1">
      <alignment horizontal="center" vertical="center"/>
    </xf>
    <xf numFmtId="0" fontId="0" fillId="0" borderId="110" xfId="0" applyBorder="1" applyAlignment="1"/>
    <xf numFmtId="0" fontId="0" fillId="0" borderId="78" xfId="0" applyBorder="1" applyAlignment="1"/>
    <xf numFmtId="0" fontId="1" fillId="0" borderId="47" xfId="0" applyFont="1" applyBorder="1" applyAlignment="1">
      <alignment horizontal="center" vertical="top"/>
    </xf>
    <xf numFmtId="0" fontId="1" fillId="0" borderId="63" xfId="0" applyFont="1" applyBorder="1" applyAlignment="1">
      <alignment horizontal="center" vertical="top"/>
    </xf>
    <xf numFmtId="0" fontId="1" fillId="0" borderId="78" xfId="0" applyFont="1" applyBorder="1" applyAlignment="1">
      <alignment horizontal="center" vertical="top"/>
    </xf>
    <xf numFmtId="0" fontId="3" fillId="0" borderId="63" xfId="0" applyFont="1" applyBorder="1" applyAlignment="1">
      <alignment horizontal="center" vertical="top"/>
    </xf>
    <xf numFmtId="0" fontId="1" fillId="0" borderId="63" xfId="0" applyFont="1" applyBorder="1" applyAlignment="1">
      <alignment horizontal="center" vertical="center"/>
    </xf>
    <xf numFmtId="0" fontId="0" fillId="34" borderId="89" xfId="0" applyFill="1" applyBorder="1"/>
    <xf numFmtId="0" fontId="1" fillId="0" borderId="88" xfId="0" applyFont="1" applyBorder="1" applyAlignment="1">
      <alignment horizontal="center" vertical="top"/>
    </xf>
    <xf numFmtId="0" fontId="1" fillId="0" borderId="76" xfId="0" applyFont="1" applyBorder="1" applyAlignment="1">
      <alignment horizontal="center" vertical="top"/>
    </xf>
    <xf numFmtId="0" fontId="4" fillId="0" borderId="120" xfId="0" applyFont="1" applyBorder="1" applyAlignment="1">
      <alignment horizontal="center" vertical="center"/>
    </xf>
    <xf numFmtId="0" fontId="1" fillId="0" borderId="120" xfId="0" applyFont="1" applyBorder="1" applyAlignment="1">
      <alignment horizontal="center" vertical="top"/>
    </xf>
    <xf numFmtId="0" fontId="1" fillId="0" borderId="121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0" fillId="0" borderId="61" xfId="0" applyBorder="1" applyAlignment="1"/>
    <xf numFmtId="164" fontId="0" fillId="0" borderId="23" xfId="0" applyNumberFormat="1" applyBorder="1"/>
    <xf numFmtId="164" fontId="0" fillId="0" borderId="72" xfId="0" applyNumberFormat="1" applyBorder="1"/>
    <xf numFmtId="164" fontId="0" fillId="0" borderId="58" xfId="0" applyNumberFormat="1" applyBorder="1"/>
    <xf numFmtId="164" fontId="0" fillId="0" borderId="30" xfId="0" applyNumberFormat="1" applyBorder="1"/>
    <xf numFmtId="164" fontId="0" fillId="0" borderId="13" xfId="0" applyNumberFormat="1" applyBorder="1"/>
    <xf numFmtId="164" fontId="27" fillId="0" borderId="24" xfId="0" applyNumberFormat="1" applyFont="1" applyBorder="1"/>
    <xf numFmtId="164" fontId="0" fillId="0" borderId="122" xfId="0" applyNumberFormat="1" applyBorder="1"/>
    <xf numFmtId="164" fontId="0" fillId="0" borderId="34" xfId="0" applyNumberFormat="1" applyBorder="1"/>
    <xf numFmtId="164" fontId="21" fillId="0" borderId="38" xfId="0" applyNumberFormat="1" applyFont="1" applyBorder="1"/>
    <xf numFmtId="164" fontId="0" fillId="0" borderId="23" xfId="42" applyNumberFormat="1" applyFont="1" applyBorder="1"/>
    <xf numFmtId="164" fontId="4" fillId="0" borderId="24" xfId="0" applyNumberFormat="1" applyFont="1" applyBorder="1"/>
    <xf numFmtId="164" fontId="0" fillId="0" borderId="123" xfId="42" applyNumberFormat="1" applyFont="1" applyBorder="1"/>
    <xf numFmtId="164" fontId="0" fillId="0" borderId="86" xfId="42" applyNumberFormat="1" applyFont="1" applyBorder="1"/>
    <xf numFmtId="164" fontId="0" fillId="0" borderId="118" xfId="42" applyNumberFormat="1" applyFont="1" applyBorder="1"/>
    <xf numFmtId="164" fontId="4" fillId="0" borderId="105" xfId="42" applyNumberFormat="1" applyFont="1" applyBorder="1"/>
    <xf numFmtId="164" fontId="4" fillId="0" borderId="105" xfId="0" applyNumberFormat="1" applyFont="1" applyBorder="1"/>
    <xf numFmtId="164" fontId="0" fillId="0" borderId="91" xfId="42" applyNumberFormat="1" applyFont="1" applyBorder="1"/>
    <xf numFmtId="164" fontId="0" fillId="0" borderId="92" xfId="42" applyNumberFormat="1" applyFont="1" applyBorder="1"/>
    <xf numFmtId="164" fontId="0" fillId="0" borderId="92" xfId="0" applyNumberFormat="1" applyBorder="1"/>
    <xf numFmtId="164" fontId="0" fillId="0" borderId="111" xfId="42" applyNumberFormat="1" applyFont="1" applyBorder="1"/>
    <xf numFmtId="164" fontId="26" fillId="0" borderId="52" xfId="42" applyNumberFormat="1" applyFont="1" applyBorder="1" applyAlignment="1">
      <alignment horizontal="right"/>
    </xf>
    <xf numFmtId="164" fontId="33" fillId="0" borderId="16" xfId="42" applyNumberFormat="1" applyFont="1" applyBorder="1" applyAlignment="1">
      <alignment horizontal="right"/>
    </xf>
    <xf numFmtId="164" fontId="33" fillId="0" borderId="52" xfId="42" applyNumberFormat="1" applyFont="1" applyBorder="1" applyAlignment="1">
      <alignment horizontal="right"/>
    </xf>
    <xf numFmtId="164" fontId="33" fillId="0" borderId="17" xfId="42" applyNumberFormat="1" applyFont="1" applyBorder="1" applyAlignment="1">
      <alignment horizontal="right"/>
    </xf>
    <xf numFmtId="164" fontId="33" fillId="0" borderId="56" xfId="42" applyNumberFormat="1" applyFont="1" applyBorder="1" applyAlignment="1">
      <alignment horizontal="right"/>
    </xf>
    <xf numFmtId="164" fontId="26" fillId="0" borderId="56" xfId="42" applyNumberFormat="1" applyFont="1" applyBorder="1" applyAlignment="1">
      <alignment horizontal="right"/>
    </xf>
    <xf numFmtId="0" fontId="0" fillId="0" borderId="0" xfId="0"/>
    <xf numFmtId="164" fontId="0" fillId="0" borderId="74" xfId="42" applyNumberFormat="1" applyFont="1" applyBorder="1"/>
    <xf numFmtId="164" fontId="0" fillId="0" borderId="49" xfId="42" applyNumberFormat="1" applyFont="1" applyBorder="1"/>
    <xf numFmtId="164" fontId="0" fillId="0" borderId="52" xfId="42" applyNumberFormat="1" applyFont="1" applyBorder="1" applyAlignment="1">
      <alignment horizontal="right"/>
    </xf>
    <xf numFmtId="164" fontId="0" fillId="0" borderId="27" xfId="42" applyNumberFormat="1" applyFont="1" applyBorder="1" applyAlignment="1">
      <alignment horizontal="right"/>
    </xf>
    <xf numFmtId="164" fontId="0" fillId="0" borderId="17" xfId="42" applyNumberFormat="1" applyFont="1" applyBorder="1" applyAlignment="1">
      <alignment horizontal="right"/>
    </xf>
    <xf numFmtId="164" fontId="0" fillId="0" borderId="12" xfId="42" applyNumberFormat="1" applyFont="1" applyBorder="1" applyAlignment="1">
      <alignment horizontal="right"/>
    </xf>
    <xf numFmtId="164" fontId="0" fillId="0" borderId="54" xfId="42" applyNumberFormat="1" applyFont="1" applyBorder="1" applyAlignment="1">
      <alignment horizontal="right"/>
    </xf>
    <xf numFmtId="164" fontId="0" fillId="0" borderId="16" xfId="42" applyNumberFormat="1" applyFont="1" applyBorder="1" applyAlignment="1">
      <alignment horizontal="right"/>
    </xf>
    <xf numFmtId="164" fontId="0" fillId="0" borderId="28" xfId="42" applyNumberFormat="1" applyFont="1" applyBorder="1" applyAlignment="1">
      <alignment horizontal="right"/>
    </xf>
    <xf numFmtId="164" fontId="0" fillId="0" borderId="56" xfId="42" applyNumberFormat="1" applyFont="1" applyBorder="1" applyAlignment="1">
      <alignment horizontal="right"/>
    </xf>
    <xf numFmtId="164" fontId="0" fillId="0" borderId="33" xfId="42" applyNumberFormat="1" applyFont="1" applyBorder="1" applyAlignment="1">
      <alignment horizontal="right"/>
    </xf>
    <xf numFmtId="164" fontId="0" fillId="0" borderId="29" xfId="42" applyNumberFormat="1" applyFont="1" applyBorder="1" applyAlignment="1">
      <alignment horizontal="right"/>
    </xf>
    <xf numFmtId="164" fontId="0" fillId="0" borderId="55" xfId="42" applyNumberFormat="1" applyFont="1" applyBorder="1" applyAlignment="1">
      <alignment horizontal="right"/>
    </xf>
    <xf numFmtId="164" fontId="0" fillId="0" borderId="83" xfId="42" applyNumberFormat="1" applyFont="1" applyBorder="1" applyAlignment="1">
      <alignment wrapText="1"/>
    </xf>
    <xf numFmtId="164" fontId="0" fillId="0" borderId="0" xfId="0" applyNumberFormat="1"/>
    <xf numFmtId="164" fontId="0" fillId="0" borderId="85" xfId="42" applyNumberFormat="1" applyFont="1" applyBorder="1" applyAlignment="1"/>
    <xf numFmtId="164" fontId="0" fillId="0" borderId="83" xfId="42" applyNumberFormat="1" applyFont="1" applyBorder="1" applyAlignment="1"/>
    <xf numFmtId="164" fontId="0" fillId="0" borderId="90" xfId="42" applyNumberFormat="1" applyFont="1" applyBorder="1" applyAlignment="1"/>
    <xf numFmtId="164" fontId="3" fillId="0" borderId="78" xfId="0" applyNumberFormat="1" applyFont="1" applyBorder="1" applyAlignment="1">
      <alignment horizontal="right"/>
    </xf>
    <xf numFmtId="164" fontId="3" fillId="0" borderId="47" xfId="0" applyNumberFormat="1" applyFont="1" applyBorder="1" applyAlignment="1">
      <alignment horizontal="right"/>
    </xf>
    <xf numFmtId="164" fontId="3" fillId="0" borderId="88" xfId="0" applyNumberFormat="1" applyFont="1" applyBorder="1" applyAlignment="1">
      <alignment horizontal="right"/>
    </xf>
    <xf numFmtId="164" fontId="2" fillId="33" borderId="84" xfId="42" quotePrefix="1" applyNumberFormat="1" applyFont="1" applyFill="1" applyBorder="1" applyAlignment="1">
      <alignment horizontal="center" vertical="center"/>
    </xf>
    <xf numFmtId="0" fontId="34" fillId="0" borderId="0" xfId="0" applyFont="1"/>
    <xf numFmtId="164" fontId="33" fillId="0" borderId="0" xfId="0" applyNumberFormat="1" applyFont="1"/>
    <xf numFmtId="164" fontId="26" fillId="0" borderId="119" xfId="0" applyNumberFormat="1" applyFont="1" applyBorder="1"/>
    <xf numFmtId="164" fontId="26" fillId="0" borderId="0" xfId="0" applyNumberFormat="1" applyFont="1" applyBorder="1"/>
    <xf numFmtId="0" fontId="3" fillId="0" borderId="0" xfId="0" applyFont="1"/>
    <xf numFmtId="164" fontId="3" fillId="0" borderId="0" xfId="0" applyNumberFormat="1" applyFont="1"/>
    <xf numFmtId="164" fontId="3" fillId="33" borderId="0" xfId="0" applyNumberFormat="1" applyFont="1" applyFill="1"/>
    <xf numFmtId="164" fontId="33" fillId="0" borderId="0" xfId="42" applyNumberFormat="1" applyFont="1"/>
    <xf numFmtId="164" fontId="3" fillId="0" borderId="112" xfId="42" applyNumberFormat="1" applyFont="1" applyBorder="1"/>
    <xf numFmtId="164" fontId="33" fillId="33" borderId="0" xfId="42" applyNumberFormat="1" applyFont="1" applyFill="1"/>
    <xf numFmtId="164" fontId="4" fillId="0" borderId="10" xfId="42" applyNumberFormat="1" applyFont="1" applyBorder="1" applyAlignment="1"/>
    <xf numFmtId="0" fontId="4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wrapText="1"/>
    </xf>
    <xf numFmtId="0" fontId="4" fillId="0" borderId="87" xfId="0" applyFont="1" applyBorder="1" applyAlignment="1">
      <alignment horizontal="center" vertical="center" wrapText="1"/>
    </xf>
    <xf numFmtId="0" fontId="0" fillId="0" borderId="90" xfId="0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33" borderId="45" xfId="0" applyFont="1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3" fillId="35" borderId="1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40" borderId="52" xfId="0" applyFont="1" applyFill="1" applyBorder="1" applyAlignment="1">
      <alignment horizontal="center" vertical="center"/>
    </xf>
    <xf numFmtId="0" fontId="0" fillId="40" borderId="31" xfId="0" applyFont="1" applyFill="1" applyBorder="1" applyAlignment="1">
      <alignment horizontal="center" vertical="center"/>
    </xf>
    <xf numFmtId="0" fontId="0" fillId="40" borderId="35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72" xfId="0" applyBorder="1" applyAlignment="1">
      <alignment horizontal="center" vertical="top"/>
    </xf>
    <xf numFmtId="0" fontId="1" fillId="0" borderId="13" xfId="0" applyFont="1" applyBorder="1" applyAlignment="1">
      <alignment horizontal="center" vertical="center" wrapText="1"/>
    </xf>
    <xf numFmtId="0" fontId="0" fillId="0" borderId="23" xfId="0" applyBorder="1" applyAlignment="1"/>
    <xf numFmtId="0" fontId="4" fillId="0" borderId="21" xfId="0" applyFont="1" applyBorder="1" applyAlignment="1">
      <alignment horizontal="center" vertical="center" wrapText="1"/>
    </xf>
    <xf numFmtId="0" fontId="0" fillId="0" borderId="22" xfId="0" applyBorder="1" applyAlignment="1"/>
    <xf numFmtId="0" fontId="0" fillId="40" borderId="16" xfId="0" applyFont="1" applyFill="1" applyBorder="1" applyAlignment="1">
      <alignment horizontal="center" vertical="center"/>
    </xf>
    <xf numFmtId="0" fontId="0" fillId="40" borderId="16" xfId="0" applyFill="1" applyBorder="1" applyAlignment="1">
      <alignment horizontal="center" vertical="center"/>
    </xf>
    <xf numFmtId="0" fontId="0" fillId="40" borderId="73" xfId="0" applyFill="1" applyBorder="1" applyAlignment="1">
      <alignment horizontal="center" vertical="center"/>
    </xf>
    <xf numFmtId="0" fontId="0" fillId="0" borderId="59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73" xfId="0" applyFont="1" applyBorder="1" applyAlignment="1">
      <alignment horizontal="center" vertical="center"/>
    </xf>
    <xf numFmtId="0" fontId="21" fillId="40" borderId="65" xfId="0" applyFont="1" applyFill="1" applyBorder="1" applyAlignment="1">
      <alignment horizontal="center" vertical="center"/>
    </xf>
    <xf numFmtId="0" fontId="21" fillId="40" borderId="16" xfId="0" applyFont="1" applyFill="1" applyBorder="1" applyAlignment="1">
      <alignment horizontal="center" vertical="center"/>
    </xf>
    <xf numFmtId="0" fontId="0" fillId="40" borderId="65" xfId="0" applyFont="1" applyFill="1" applyBorder="1" applyAlignment="1">
      <alignment horizontal="center" vertical="center"/>
    </xf>
    <xf numFmtId="0" fontId="0" fillId="40" borderId="16" xfId="0" applyFill="1" applyBorder="1" applyAlignment="1"/>
    <xf numFmtId="0" fontId="0" fillId="40" borderId="73" xfId="0" applyFill="1" applyBorder="1" applyAlignment="1"/>
    <xf numFmtId="0" fontId="21" fillId="40" borderId="52" xfId="0" applyFont="1" applyFill="1" applyBorder="1" applyAlignment="1">
      <alignment horizontal="center" vertical="center" wrapText="1"/>
    </xf>
    <xf numFmtId="0" fontId="21" fillId="40" borderId="31" xfId="0" applyFont="1" applyFill="1" applyBorder="1" applyAlignment="1">
      <alignment horizontal="center" vertical="center" wrapText="1"/>
    </xf>
    <xf numFmtId="0" fontId="21" fillId="40" borderId="3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0" fillId="0" borderId="112" xfId="0" applyBorder="1" applyAlignment="1"/>
    <xf numFmtId="0" fontId="0" fillId="0" borderId="118" xfId="0" applyBorder="1" applyAlignment="1"/>
    <xf numFmtId="0" fontId="0" fillId="0" borderId="12" xfId="0" applyBorder="1" applyAlignment="1">
      <alignment wrapText="1"/>
    </xf>
    <xf numFmtId="0" fontId="22" fillId="0" borderId="60" xfId="0" applyFont="1" applyBorder="1" applyAlignment="1"/>
    <xf numFmtId="0" fontId="0" fillId="0" borderId="14" xfId="0" applyBorder="1" applyAlignment="1"/>
    <xf numFmtId="0" fontId="22" fillId="0" borderId="14" xfId="0" applyFont="1" applyBorder="1" applyAlignment="1"/>
    <xf numFmtId="0" fontId="22" fillId="0" borderId="103" xfId="0" applyFont="1" applyBorder="1" applyAlignment="1"/>
    <xf numFmtId="0" fontId="0" fillId="41" borderId="101" xfId="0" applyFill="1" applyBorder="1" applyAlignment="1"/>
    <xf numFmtId="0" fontId="0" fillId="0" borderId="90" xfId="0" applyBorder="1" applyAlignment="1"/>
    <xf numFmtId="0" fontId="0" fillId="0" borderId="100" xfId="0" applyBorder="1" applyAlignment="1"/>
    <xf numFmtId="0" fontId="4" fillId="0" borderId="59" xfId="0" applyFont="1" applyBorder="1" applyAlignment="1">
      <alignment horizontal="center" vertical="center" wrapText="1"/>
    </xf>
    <xf numFmtId="0" fontId="0" fillId="0" borderId="16" xfId="0" applyBorder="1" applyAlignment="1"/>
    <xf numFmtId="0" fontId="0" fillId="0" borderId="47" xfId="0" applyBorder="1" applyAlignment="1"/>
    <xf numFmtId="0" fontId="4" fillId="0" borderId="61" xfId="0" applyFont="1" applyBorder="1" applyAlignment="1">
      <alignment horizontal="center" vertical="center" wrapText="1"/>
    </xf>
    <xf numFmtId="0" fontId="0" fillId="0" borderId="12" xfId="0" applyBorder="1" applyAlignment="1"/>
    <xf numFmtId="0" fontId="0" fillId="0" borderId="63" xfId="0" applyBorder="1" applyAlignment="1"/>
    <xf numFmtId="0" fontId="4" fillId="0" borderId="61" xfId="0" quotePrefix="1" applyFont="1" applyBorder="1" applyAlignment="1">
      <alignment horizontal="center" vertical="center" wrapText="1"/>
    </xf>
    <xf numFmtId="0" fontId="4" fillId="0" borderId="93" xfId="0" quotePrefix="1" applyFont="1" applyBorder="1" applyAlignment="1">
      <alignment horizontal="center" vertical="center" wrapText="1"/>
    </xf>
    <xf numFmtId="0" fontId="0" fillId="0" borderId="78" xfId="0" applyBorder="1" applyAlignment="1"/>
    <xf numFmtId="0" fontId="4" fillId="0" borderId="62" xfId="0" applyFont="1" applyBorder="1" applyAlignment="1">
      <alignment horizontal="center" vertical="center" wrapText="1"/>
    </xf>
    <xf numFmtId="0" fontId="0" fillId="0" borderId="17" xfId="0" applyBorder="1" applyAlignment="1"/>
    <xf numFmtId="0" fontId="4" fillId="0" borderId="118" xfId="0" applyFont="1" applyBorder="1" applyAlignment="1">
      <alignment horizontal="center" vertical="center" wrapText="1"/>
    </xf>
    <xf numFmtId="0" fontId="0" fillId="0" borderId="120" xfId="0" applyBorder="1" applyAlignment="1">
      <alignment horizontal="center" wrapText="1"/>
    </xf>
    <xf numFmtId="0" fontId="0" fillId="40" borderId="25" xfId="0" applyFont="1" applyFill="1" applyBorder="1" applyAlignment="1">
      <alignment horizontal="center" vertical="center"/>
    </xf>
    <xf numFmtId="0" fontId="3" fillId="33" borderId="60" xfId="0" applyFont="1" applyFill="1" applyBorder="1" applyAlignment="1">
      <alignment horizontal="center" vertical="center"/>
    </xf>
    <xf numFmtId="0" fontId="4" fillId="0" borderId="60" xfId="0" applyFont="1" applyBorder="1" applyAlignment="1">
      <alignment horizontal="center" vertical="center" wrapText="1"/>
    </xf>
    <xf numFmtId="0" fontId="1" fillId="0" borderId="93" xfId="0" applyFont="1" applyBorder="1" applyAlignment="1">
      <alignment horizontal="center" vertical="center" wrapText="1"/>
    </xf>
    <xf numFmtId="0" fontId="1" fillId="0" borderId="91" xfId="0" applyFont="1" applyBorder="1" applyAlignment="1">
      <alignment horizontal="center" vertical="top"/>
    </xf>
    <xf numFmtId="0" fontId="0" fillId="0" borderId="92" xfId="0" applyBorder="1" applyAlignment="1">
      <alignment horizontal="center" vertical="top"/>
    </xf>
    <xf numFmtId="0" fontId="0" fillId="0" borderId="116" xfId="0" applyBorder="1" applyAlignment="1">
      <alignment horizontal="center" vertical="top"/>
    </xf>
    <xf numFmtId="0" fontId="0" fillId="0" borderId="91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21" fillId="40" borderId="25" xfId="0" applyFont="1" applyFill="1" applyBorder="1" applyAlignment="1">
      <alignment horizontal="center" vertical="center"/>
    </xf>
    <xf numFmtId="0" fontId="21" fillId="40" borderId="25" xfId="0" applyFont="1" applyFill="1" applyBorder="1" applyAlignment="1">
      <alignment horizontal="center" vertical="center" wrapText="1"/>
    </xf>
    <xf numFmtId="0" fontId="0" fillId="40" borderId="25" xfId="0" applyFill="1" applyBorder="1" applyAlignment="1">
      <alignment horizontal="center" vertical="center"/>
    </xf>
    <xf numFmtId="0" fontId="0" fillId="40" borderId="25" xfId="0" applyFill="1" applyBorder="1" applyAlignment="1"/>
    <xf numFmtId="0" fontId="4" fillId="0" borderId="116" xfId="0" applyFont="1" applyBorder="1" applyAlignment="1">
      <alignment horizontal="center" vertical="center"/>
    </xf>
    <xf numFmtId="0" fontId="4" fillId="0" borderId="43" xfId="0" applyFont="1" applyBorder="1" applyAlignment="1"/>
    <xf numFmtId="0" fontId="4" fillId="0" borderId="117" xfId="0" applyFont="1" applyBorder="1" applyAlignment="1"/>
    <xf numFmtId="0" fontId="4" fillId="0" borderId="15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wrapText="1"/>
    </xf>
    <xf numFmtId="0" fontId="3" fillId="35" borderId="116" xfId="0" applyFont="1" applyFill="1" applyBorder="1" applyAlignment="1">
      <alignment horizontal="center" vertical="center"/>
    </xf>
    <xf numFmtId="0" fontId="0" fillId="0" borderId="117" xfId="0" applyBorder="1" applyAlignment="1">
      <alignment horizontal="center" vertical="center"/>
    </xf>
    <xf numFmtId="0" fontId="0" fillId="0" borderId="52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6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2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0" fillId="0" borderId="51" xfId="0" applyFont="1" applyBorder="1" applyAlignment="1">
      <alignment horizontal="center" vertical="center" wrapText="1"/>
    </xf>
    <xf numFmtId="0" fontId="0" fillId="0" borderId="73" xfId="0" applyBorder="1" applyAlignment="1">
      <alignment horizontal="center" vertical="center"/>
    </xf>
    <xf numFmtId="0" fontId="0" fillId="0" borderId="73" xfId="0" applyBorder="1" applyAlignment="1"/>
    <xf numFmtId="0" fontId="0" fillId="0" borderId="65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73" xfId="0" applyFont="1" applyBorder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3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0"/>
  <sheetViews>
    <sheetView tabSelected="1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RowHeight="14.4" x14ac:dyDescent="0.3"/>
  <cols>
    <col min="1" max="1" width="10.6640625" customWidth="1"/>
    <col min="2" max="2" width="29.44140625" customWidth="1"/>
    <col min="3" max="3" width="10.5546875" customWidth="1"/>
    <col min="4" max="5" width="11.33203125" customWidth="1"/>
    <col min="6" max="6" width="12.6640625" customWidth="1"/>
    <col min="7" max="7" width="12.33203125" customWidth="1"/>
    <col min="8" max="8" width="19.33203125" style="153" customWidth="1"/>
    <col min="9" max="9" width="16.6640625" style="153" customWidth="1"/>
    <col min="10" max="10" width="14.44140625" style="153" customWidth="1"/>
    <col min="11" max="11" width="12.6640625" style="153" customWidth="1"/>
    <col min="12" max="12" width="12.44140625" style="153" customWidth="1"/>
    <col min="13" max="13" width="11.88671875" style="153" customWidth="1"/>
    <col min="14" max="14" width="11.6640625" style="50" customWidth="1"/>
    <col min="15" max="15" width="4.6640625" style="3" customWidth="1"/>
    <col min="16" max="16" width="14.33203125" customWidth="1"/>
    <col min="17" max="21" width="8.88671875" customWidth="1"/>
    <col min="22" max="22" width="11.44140625" customWidth="1"/>
    <col min="23" max="23" width="9.109375" customWidth="1"/>
    <col min="24" max="24" width="12.33203125" customWidth="1"/>
    <col min="25" max="25" width="55.44140625" style="3" customWidth="1"/>
    <col min="26" max="26" width="15" customWidth="1"/>
    <col min="27" max="27" width="8.88671875" customWidth="1"/>
    <col min="28" max="28" width="8.88671875" style="153" customWidth="1"/>
  </cols>
  <sheetData>
    <row r="1" spans="1:28" s="3" customFormat="1" x14ac:dyDescent="0.3">
      <c r="A1" s="6" t="s">
        <v>64</v>
      </c>
      <c r="F1" s="153"/>
      <c r="G1" s="153"/>
      <c r="H1" s="153"/>
      <c r="I1" s="153"/>
      <c r="J1" s="153"/>
      <c r="K1" s="153"/>
      <c r="L1" s="153"/>
      <c r="M1" s="153"/>
      <c r="N1" s="153"/>
      <c r="O1" s="153"/>
      <c r="AB1" s="153"/>
    </row>
    <row r="2" spans="1:28" s="3" customFormat="1" x14ac:dyDescent="0.3">
      <c r="A2" s="296">
        <v>42766</v>
      </c>
      <c r="F2" s="153"/>
      <c r="G2" s="153"/>
      <c r="H2" s="153"/>
      <c r="I2" s="153"/>
      <c r="J2" s="153"/>
      <c r="K2" s="153"/>
      <c r="L2" s="153"/>
      <c r="M2" s="153"/>
      <c r="N2" s="153"/>
      <c r="O2" s="153"/>
      <c r="R2" s="22"/>
      <c r="S2" s="22"/>
      <c r="T2" s="22"/>
      <c r="U2" s="22"/>
      <c r="V2" s="22"/>
      <c r="W2" s="586"/>
      <c r="X2" s="586"/>
      <c r="AB2" s="153"/>
    </row>
    <row r="3" spans="1:28" s="3" customFormat="1" ht="15" thickBot="1" x14ac:dyDescent="0.35">
      <c r="G3" s="153"/>
      <c r="H3" s="153"/>
      <c r="I3" s="153"/>
      <c r="J3" s="153"/>
      <c r="K3" s="153"/>
      <c r="L3" s="153"/>
      <c r="M3" s="153"/>
      <c r="N3" s="153"/>
      <c r="O3" s="153"/>
      <c r="AA3" s="213">
        <v>275</v>
      </c>
      <c r="AB3" s="251" t="s">
        <v>181</v>
      </c>
    </row>
    <row r="4" spans="1:28" s="3" customFormat="1" ht="16.2" x14ac:dyDescent="0.3">
      <c r="A4" s="672" t="s">
        <v>192</v>
      </c>
      <c r="B4" s="673"/>
      <c r="C4" s="673"/>
      <c r="D4" s="673"/>
      <c r="E4" s="673"/>
      <c r="F4" s="673"/>
      <c r="G4" s="673"/>
      <c r="H4" s="673"/>
      <c r="I4" s="673"/>
      <c r="J4" s="673"/>
      <c r="K4" s="673"/>
      <c r="L4" s="673"/>
      <c r="M4" s="673"/>
      <c r="N4" s="673"/>
      <c r="O4" s="570"/>
      <c r="P4" s="674" t="s">
        <v>41</v>
      </c>
      <c r="Q4" s="675"/>
      <c r="R4" s="675"/>
      <c r="S4" s="675"/>
      <c r="T4" s="675"/>
      <c r="U4" s="675"/>
      <c r="V4" s="675"/>
      <c r="W4" s="675"/>
      <c r="X4" s="675"/>
      <c r="Y4" s="675"/>
      <c r="Z4" s="11" t="s">
        <v>7</v>
      </c>
      <c r="AA4" s="153"/>
      <c r="AB4" s="153"/>
    </row>
    <row r="5" spans="1:28" s="3" customFormat="1" x14ac:dyDescent="0.3">
      <c r="A5" s="684" t="s">
        <v>36</v>
      </c>
      <c r="B5" s="682" t="s">
        <v>202</v>
      </c>
      <c r="C5" s="679" t="s">
        <v>0</v>
      </c>
      <c r="D5" s="680"/>
      <c r="E5" s="680"/>
      <c r="F5" s="681"/>
      <c r="G5" s="666" t="s">
        <v>198</v>
      </c>
      <c r="H5" s="670" t="s">
        <v>225</v>
      </c>
      <c r="I5" s="670" t="s">
        <v>232</v>
      </c>
      <c r="J5" s="670" t="s">
        <v>226</v>
      </c>
      <c r="K5" s="700" t="s">
        <v>227</v>
      </c>
      <c r="L5" s="701"/>
      <c r="M5" s="702"/>
      <c r="N5" s="666" t="s">
        <v>231</v>
      </c>
      <c r="O5" s="571"/>
      <c r="P5" s="682" t="s">
        <v>65</v>
      </c>
      <c r="Q5" s="679" t="s">
        <v>0</v>
      </c>
      <c r="R5" s="680"/>
      <c r="S5" s="680"/>
      <c r="T5" s="680"/>
      <c r="U5" s="680"/>
      <c r="V5" s="7"/>
      <c r="W5" s="68" t="s">
        <v>12</v>
      </c>
      <c r="X5" s="33" t="s">
        <v>13</v>
      </c>
      <c r="Y5" s="46" t="s">
        <v>43</v>
      </c>
      <c r="Z5" s="668" t="s">
        <v>233</v>
      </c>
      <c r="AA5" s="153"/>
      <c r="AB5" s="153"/>
    </row>
    <row r="6" spans="1:28" s="3" customFormat="1" x14ac:dyDescent="0.3">
      <c r="A6" s="685"/>
      <c r="B6" s="683"/>
      <c r="C6" s="8" t="s">
        <v>5</v>
      </c>
      <c r="D6" s="1" t="s">
        <v>3</v>
      </c>
      <c r="E6" s="1" t="s">
        <v>2</v>
      </c>
      <c r="F6" s="149" t="s">
        <v>1</v>
      </c>
      <c r="G6" s="667"/>
      <c r="H6" s="703"/>
      <c r="I6" s="667"/>
      <c r="J6" s="667"/>
      <c r="K6" s="666" t="s">
        <v>228</v>
      </c>
      <c r="L6" s="666" t="s">
        <v>229</v>
      </c>
      <c r="M6" s="666" t="s">
        <v>230</v>
      </c>
      <c r="N6" s="671"/>
      <c r="O6" s="571"/>
      <c r="P6" s="683"/>
      <c r="Q6" s="8" t="s">
        <v>5</v>
      </c>
      <c r="R6" s="1" t="s">
        <v>3</v>
      </c>
      <c r="S6" s="1" t="s">
        <v>2</v>
      </c>
      <c r="T6" s="1" t="s">
        <v>1</v>
      </c>
      <c r="U6" s="1" t="s">
        <v>4</v>
      </c>
      <c r="V6" s="4" t="s">
        <v>7</v>
      </c>
      <c r="W6" s="36" t="s">
        <v>8</v>
      </c>
      <c r="X6" s="34" t="s">
        <v>8</v>
      </c>
      <c r="Y6" s="47" t="s">
        <v>42</v>
      </c>
      <c r="Z6" s="669"/>
      <c r="AA6" s="153"/>
      <c r="AB6" s="153"/>
    </row>
    <row r="7" spans="1:28" s="2" customFormat="1" x14ac:dyDescent="0.3">
      <c r="A7" s="685"/>
      <c r="B7" s="683"/>
      <c r="C7" s="8" t="s">
        <v>11</v>
      </c>
      <c r="D7" s="1" t="s">
        <v>11</v>
      </c>
      <c r="E7" s="1" t="s">
        <v>11</v>
      </c>
      <c r="F7" s="149" t="s">
        <v>11</v>
      </c>
      <c r="G7" s="667"/>
      <c r="H7" s="703"/>
      <c r="I7" s="667"/>
      <c r="J7" s="667"/>
      <c r="K7" s="667"/>
      <c r="L7" s="667"/>
      <c r="M7" s="667"/>
      <c r="N7" s="671"/>
      <c r="O7" s="571"/>
      <c r="P7" s="683"/>
      <c r="Q7" s="8" t="s">
        <v>11</v>
      </c>
      <c r="R7" s="1" t="s">
        <v>11</v>
      </c>
      <c r="S7" s="1" t="s">
        <v>11</v>
      </c>
      <c r="T7" s="1" t="s">
        <v>11</v>
      </c>
      <c r="U7" s="1" t="s">
        <v>11</v>
      </c>
      <c r="V7" s="4" t="s">
        <v>11</v>
      </c>
      <c r="W7" s="36" t="s">
        <v>11</v>
      </c>
      <c r="X7" s="34" t="s">
        <v>11</v>
      </c>
      <c r="Y7" s="47"/>
      <c r="Z7" s="669"/>
      <c r="AA7" s="153"/>
    </row>
    <row r="8" spans="1:28" s="2" customFormat="1" ht="15" thickBot="1" x14ac:dyDescent="0.35">
      <c r="A8" s="183"/>
      <c r="B8" s="182"/>
      <c r="C8" s="36" t="s">
        <v>183</v>
      </c>
      <c r="D8" s="154" t="s">
        <v>184</v>
      </c>
      <c r="E8" s="154" t="s">
        <v>185</v>
      </c>
      <c r="F8" s="149" t="s">
        <v>186</v>
      </c>
      <c r="G8" s="154"/>
      <c r="H8" s="212"/>
      <c r="I8" s="212"/>
      <c r="J8" s="154" t="s">
        <v>187</v>
      </c>
      <c r="K8" s="154"/>
      <c r="L8" s="154"/>
      <c r="M8" s="154"/>
      <c r="N8" s="194"/>
      <c r="O8" s="571"/>
      <c r="P8" s="182"/>
      <c r="Q8" s="36"/>
      <c r="R8" s="154"/>
      <c r="S8" s="154"/>
      <c r="T8" s="154"/>
      <c r="U8" s="154"/>
      <c r="V8" s="156"/>
      <c r="W8" s="36"/>
      <c r="X8" s="156"/>
      <c r="Y8" s="47"/>
      <c r="Z8" s="47"/>
      <c r="AA8" s="153"/>
    </row>
    <row r="9" spans="1:28" x14ac:dyDescent="0.3">
      <c r="A9" s="689" t="s">
        <v>99</v>
      </c>
      <c r="B9" s="56" t="s">
        <v>100</v>
      </c>
      <c r="C9" s="79">
        <v>0</v>
      </c>
      <c r="D9" s="76">
        <v>0</v>
      </c>
      <c r="E9" s="76">
        <v>588</v>
      </c>
      <c r="F9" s="150">
        <v>1346</v>
      </c>
      <c r="G9" s="76">
        <f t="shared" ref="G9:G19" si="0">SUM(C9:F9)</f>
        <v>1934</v>
      </c>
      <c r="H9" s="479">
        <f>C9+D9+E9+F9*0.5</f>
        <v>1261</v>
      </c>
      <c r="I9" s="311">
        <f>IF(G9&lt;1,0,H9/G9)</f>
        <v>0.65201654601861425</v>
      </c>
      <c r="J9" s="76">
        <v>5704</v>
      </c>
      <c r="K9" s="148">
        <v>0</v>
      </c>
      <c r="L9" s="148">
        <v>7638</v>
      </c>
      <c r="M9" s="148">
        <f>G9+J9</f>
        <v>7638</v>
      </c>
      <c r="N9" s="195" t="s">
        <v>101</v>
      </c>
      <c r="O9" s="570"/>
      <c r="P9" s="585" t="s">
        <v>201</v>
      </c>
      <c r="Q9" s="79">
        <v>0</v>
      </c>
      <c r="R9" s="76">
        <v>0</v>
      </c>
      <c r="S9" s="76">
        <v>0</v>
      </c>
      <c r="T9" s="76">
        <v>0</v>
      </c>
      <c r="U9" s="76">
        <v>425</v>
      </c>
      <c r="V9" s="100">
        <f t="shared" ref="V9:V11" si="1">SUM(Q9:U9)</f>
        <v>425</v>
      </c>
      <c r="W9" s="122">
        <v>170</v>
      </c>
      <c r="X9" s="127">
        <v>255</v>
      </c>
      <c r="Y9" s="30" t="s">
        <v>117</v>
      </c>
      <c r="Z9" s="433">
        <f t="shared" ref="Z9:Z40" si="2">+G9+J9+V9</f>
        <v>8063</v>
      </c>
      <c r="AA9" s="153"/>
    </row>
    <row r="10" spans="1:28" x14ac:dyDescent="0.3">
      <c r="A10" s="690"/>
      <c r="B10" s="44" t="s">
        <v>102</v>
      </c>
      <c r="C10" s="84">
        <v>0</v>
      </c>
      <c r="D10" s="102">
        <v>0</v>
      </c>
      <c r="E10" s="102">
        <v>748</v>
      </c>
      <c r="F10" s="181">
        <v>1530</v>
      </c>
      <c r="G10" s="176">
        <f t="shared" si="0"/>
        <v>2278</v>
      </c>
      <c r="H10" s="476">
        <f t="shared" ref="H10:H41" si="3">C10+D10+E10+F10*0.5</f>
        <v>1513</v>
      </c>
      <c r="I10" s="312">
        <f t="shared" ref="I10:I73" si="4">IF(G10&lt;1,0,H10/G10)</f>
        <v>0.66417910447761197</v>
      </c>
      <c r="J10" s="176">
        <v>236</v>
      </c>
      <c r="K10" s="151">
        <v>1005</v>
      </c>
      <c r="L10" s="151">
        <v>1509</v>
      </c>
      <c r="M10" s="151">
        <f t="shared" ref="M10:M73" si="5">G10+J10</f>
        <v>2514</v>
      </c>
      <c r="N10" s="196" t="s">
        <v>103</v>
      </c>
      <c r="O10" s="571"/>
      <c r="P10" s="299" t="s">
        <v>201</v>
      </c>
      <c r="Q10" s="84">
        <v>0</v>
      </c>
      <c r="R10" s="102">
        <v>0</v>
      </c>
      <c r="S10" s="102">
        <v>437</v>
      </c>
      <c r="T10" s="102">
        <v>3554</v>
      </c>
      <c r="U10" s="102">
        <v>4713</v>
      </c>
      <c r="V10" s="81">
        <f t="shared" si="1"/>
        <v>8704</v>
      </c>
      <c r="W10" s="125">
        <v>3481.6000000000004</v>
      </c>
      <c r="X10" s="123">
        <v>5222.3999999999996</v>
      </c>
      <c r="Y10" s="51" t="s">
        <v>118</v>
      </c>
      <c r="Z10" s="177">
        <f t="shared" si="2"/>
        <v>11218</v>
      </c>
      <c r="AA10" s="153"/>
    </row>
    <row r="11" spans="1:28" x14ac:dyDescent="0.3">
      <c r="A11" s="690"/>
      <c r="B11" s="44" t="s">
        <v>104</v>
      </c>
      <c r="C11" s="84">
        <v>0</v>
      </c>
      <c r="D11" s="102">
        <v>711</v>
      </c>
      <c r="E11" s="102">
        <v>5061</v>
      </c>
      <c r="F11" s="181">
        <v>3285</v>
      </c>
      <c r="G11" s="176">
        <f t="shared" si="0"/>
        <v>9057</v>
      </c>
      <c r="H11" s="476">
        <f t="shared" si="3"/>
        <v>7414.5</v>
      </c>
      <c r="I11" s="312">
        <f>IF(G11&lt;1,0,H11/G11)</f>
        <v>0.81864855912553824</v>
      </c>
      <c r="J11" s="176">
        <v>433</v>
      </c>
      <c r="K11" s="151">
        <v>3796</v>
      </c>
      <c r="L11" s="151">
        <v>5694</v>
      </c>
      <c r="M11" s="151">
        <f t="shared" si="5"/>
        <v>9490</v>
      </c>
      <c r="N11" s="196" t="s">
        <v>105</v>
      </c>
      <c r="O11" s="571"/>
      <c r="P11" s="299" t="s">
        <v>201</v>
      </c>
      <c r="Q11" s="84">
        <v>0</v>
      </c>
      <c r="R11" s="102">
        <v>0</v>
      </c>
      <c r="S11" s="102">
        <v>9563</v>
      </c>
      <c r="T11" s="102">
        <v>2026</v>
      </c>
      <c r="U11" s="102">
        <v>55</v>
      </c>
      <c r="V11" s="81">
        <f t="shared" si="1"/>
        <v>11644</v>
      </c>
      <c r="W11" s="125">
        <v>4657.6000000000004</v>
      </c>
      <c r="X11" s="123">
        <v>6986.4</v>
      </c>
      <c r="Y11" s="51" t="s">
        <v>119</v>
      </c>
      <c r="Z11" s="177">
        <f t="shared" si="2"/>
        <v>21134</v>
      </c>
      <c r="AA11" s="153"/>
    </row>
    <row r="12" spans="1:28" x14ac:dyDescent="0.3">
      <c r="A12" s="691"/>
      <c r="B12" s="45" t="s">
        <v>106</v>
      </c>
      <c r="C12" s="143">
        <v>0</v>
      </c>
      <c r="D12" s="142">
        <v>0</v>
      </c>
      <c r="E12" s="142">
        <v>0</v>
      </c>
      <c r="F12" s="126">
        <v>2727</v>
      </c>
      <c r="G12" s="170">
        <f t="shared" si="0"/>
        <v>2727</v>
      </c>
      <c r="H12" s="477">
        <f t="shared" si="3"/>
        <v>1363.5</v>
      </c>
      <c r="I12" s="313">
        <f t="shared" si="4"/>
        <v>0.5</v>
      </c>
      <c r="J12" s="170">
        <v>2205</v>
      </c>
      <c r="K12" s="152">
        <v>0</v>
      </c>
      <c r="L12" s="152">
        <v>4932</v>
      </c>
      <c r="M12" s="214">
        <f t="shared" si="5"/>
        <v>4932</v>
      </c>
      <c r="N12" s="197" t="s">
        <v>107</v>
      </c>
      <c r="O12" s="571"/>
      <c r="P12" s="457" t="s">
        <v>30</v>
      </c>
      <c r="Q12" s="91">
        <v>0</v>
      </c>
      <c r="R12" s="88">
        <v>0</v>
      </c>
      <c r="S12" s="88">
        <v>0</v>
      </c>
      <c r="T12" s="88">
        <v>0</v>
      </c>
      <c r="U12" s="88">
        <v>0</v>
      </c>
      <c r="V12" s="90">
        <f>SUM(Q12:U12)</f>
        <v>0</v>
      </c>
      <c r="W12" s="128">
        <v>0</v>
      </c>
      <c r="X12" s="124">
        <v>0</v>
      </c>
      <c r="Y12" s="52"/>
      <c r="Z12" s="434">
        <f t="shared" si="2"/>
        <v>4932</v>
      </c>
      <c r="AA12" s="153"/>
    </row>
    <row r="13" spans="1:28" s="5" customFormat="1" x14ac:dyDescent="0.3">
      <c r="A13" s="328" t="s">
        <v>14</v>
      </c>
      <c r="B13" s="329" t="s">
        <v>172</v>
      </c>
      <c r="C13" s="330">
        <f>SUM(C9:C12)</f>
        <v>0</v>
      </c>
      <c r="D13" s="331">
        <f>SUM(D9:D12)</f>
        <v>711</v>
      </c>
      <c r="E13" s="331">
        <f t="shared" ref="E13:F13" si="6">SUM(E9:E12)</f>
        <v>6397</v>
      </c>
      <c r="F13" s="332">
        <f t="shared" si="6"/>
        <v>8888</v>
      </c>
      <c r="G13" s="333">
        <f t="shared" si="0"/>
        <v>15996</v>
      </c>
      <c r="H13" s="374">
        <f>C13+D13+E13+F13*0.5</f>
        <v>11552</v>
      </c>
      <c r="I13" s="334">
        <f>IF(G13&lt;1,0,H13/G13)</f>
        <v>0.72218054513628405</v>
      </c>
      <c r="J13" s="331">
        <f t="shared" ref="J13:K13" si="7">SUM(J9:J12)</f>
        <v>8578</v>
      </c>
      <c r="K13" s="331">
        <f t="shared" si="7"/>
        <v>4801</v>
      </c>
      <c r="L13" s="331">
        <f>SUM(L9:L12)</f>
        <v>19773</v>
      </c>
      <c r="M13" s="217">
        <f>G13+J13</f>
        <v>24574</v>
      </c>
      <c r="N13" s="335" t="s">
        <v>108</v>
      </c>
      <c r="O13" s="571"/>
      <c r="P13" s="300" t="s">
        <v>90</v>
      </c>
      <c r="Q13" s="99">
        <f>SUM(Q9:Q12)</f>
        <v>0</v>
      </c>
      <c r="R13" s="97">
        <f>SUM(R9:R12)</f>
        <v>0</v>
      </c>
      <c r="S13" s="97">
        <f t="shared" ref="S13:U13" si="8">SUM(S9:S12)</f>
        <v>10000</v>
      </c>
      <c r="T13" s="97">
        <f t="shared" si="8"/>
        <v>5580</v>
      </c>
      <c r="U13" s="97">
        <f t="shared" si="8"/>
        <v>5193</v>
      </c>
      <c r="V13" s="98">
        <f>SUM(V9:V12)</f>
        <v>20773</v>
      </c>
      <c r="W13" s="145">
        <f>SUM(W9:W12)</f>
        <v>8309.2000000000007</v>
      </c>
      <c r="X13" s="144">
        <f>SUM(X9:X12)</f>
        <v>12463.8</v>
      </c>
      <c r="Y13" s="53"/>
      <c r="Z13" s="114">
        <f t="shared" si="2"/>
        <v>45347</v>
      </c>
      <c r="AA13" s="153"/>
      <c r="AB13" s="35"/>
    </row>
    <row r="14" spans="1:28" ht="43.2" x14ac:dyDescent="0.3">
      <c r="A14" s="692" t="s">
        <v>156</v>
      </c>
      <c r="B14" s="336" t="s">
        <v>67</v>
      </c>
      <c r="C14" s="337">
        <v>782</v>
      </c>
      <c r="D14" s="338">
        <v>404</v>
      </c>
      <c r="E14" s="338">
        <v>546</v>
      </c>
      <c r="F14" s="339">
        <v>991</v>
      </c>
      <c r="G14" s="340">
        <f t="shared" si="0"/>
        <v>2723</v>
      </c>
      <c r="H14" s="478">
        <f t="shared" si="3"/>
        <v>2227.5</v>
      </c>
      <c r="I14" s="341">
        <f t="shared" si="4"/>
        <v>0.81803158281307387</v>
      </c>
      <c r="J14" s="338">
        <v>297</v>
      </c>
      <c r="K14" s="338">
        <v>205</v>
      </c>
      <c r="L14" s="338">
        <v>2814</v>
      </c>
      <c r="M14" s="216">
        <f t="shared" si="5"/>
        <v>3020</v>
      </c>
      <c r="N14" s="342" t="s">
        <v>147</v>
      </c>
      <c r="O14" s="572"/>
      <c r="P14" s="649" t="s">
        <v>240</v>
      </c>
      <c r="Q14" s="636">
        <v>0</v>
      </c>
      <c r="R14" s="641">
        <v>0</v>
      </c>
      <c r="S14" s="641">
        <v>11</v>
      </c>
      <c r="T14" s="641">
        <v>20</v>
      </c>
      <c r="U14" s="641">
        <v>10</v>
      </c>
      <c r="V14" s="642">
        <f>SUM(Q14:U14)</f>
        <v>41</v>
      </c>
      <c r="W14" s="636">
        <v>3</v>
      </c>
      <c r="X14" s="644">
        <v>38</v>
      </c>
      <c r="Y14" s="646" t="s">
        <v>241</v>
      </c>
      <c r="Z14" s="113">
        <f t="shared" si="2"/>
        <v>3061</v>
      </c>
      <c r="AA14" s="153"/>
    </row>
    <row r="15" spans="1:28" s="22" customFormat="1" x14ac:dyDescent="0.3">
      <c r="A15" s="693"/>
      <c r="B15" s="343" t="s">
        <v>68</v>
      </c>
      <c r="C15" s="344">
        <v>0</v>
      </c>
      <c r="D15" s="340">
        <v>0</v>
      </c>
      <c r="E15" s="340">
        <v>0</v>
      </c>
      <c r="F15" s="345">
        <v>8</v>
      </c>
      <c r="G15" s="346">
        <f t="shared" si="0"/>
        <v>8</v>
      </c>
      <c r="H15" s="476">
        <f t="shared" si="3"/>
        <v>4</v>
      </c>
      <c r="I15" s="347">
        <f t="shared" si="4"/>
        <v>0.5</v>
      </c>
      <c r="J15" s="340">
        <v>382</v>
      </c>
      <c r="K15" s="340">
        <v>17</v>
      </c>
      <c r="L15" s="340">
        <v>372</v>
      </c>
      <c r="M15" s="151">
        <f t="shared" si="5"/>
        <v>390</v>
      </c>
      <c r="N15" s="348" t="s">
        <v>148</v>
      </c>
      <c r="O15" s="572"/>
      <c r="P15" s="648"/>
      <c r="Q15" s="635">
        <v>0</v>
      </c>
      <c r="R15" s="639">
        <v>0</v>
      </c>
      <c r="S15" s="639">
        <v>0</v>
      </c>
      <c r="T15" s="639">
        <v>0</v>
      </c>
      <c r="U15" s="639">
        <v>0</v>
      </c>
      <c r="V15" s="643">
        <v>0</v>
      </c>
      <c r="W15" s="635">
        <v>0</v>
      </c>
      <c r="X15" s="642">
        <v>0</v>
      </c>
      <c r="Y15" s="633"/>
      <c r="Z15" s="177">
        <f>+G15+J15+V15</f>
        <v>390</v>
      </c>
      <c r="AA15" s="153"/>
      <c r="AB15" s="153"/>
    </row>
    <row r="16" spans="1:28" s="22" customFormat="1" x14ac:dyDescent="0.3">
      <c r="A16" s="693"/>
      <c r="B16" s="343" t="s">
        <v>88</v>
      </c>
      <c r="C16" s="344">
        <v>95</v>
      </c>
      <c r="D16" s="340">
        <v>71</v>
      </c>
      <c r="E16" s="340">
        <v>14</v>
      </c>
      <c r="F16" s="345">
        <v>441</v>
      </c>
      <c r="G16" s="346">
        <f t="shared" si="0"/>
        <v>621</v>
      </c>
      <c r="H16" s="476">
        <f t="shared" si="3"/>
        <v>400.5</v>
      </c>
      <c r="I16" s="347">
        <f t="shared" si="4"/>
        <v>0.64492753623188404</v>
      </c>
      <c r="J16" s="340">
        <v>1239</v>
      </c>
      <c r="K16" s="340">
        <v>195</v>
      </c>
      <c r="L16" s="340">
        <v>1665</v>
      </c>
      <c r="M16" s="151">
        <f t="shared" si="5"/>
        <v>1860</v>
      </c>
      <c r="N16" s="348" t="s">
        <v>147</v>
      </c>
      <c r="O16" s="572"/>
      <c r="P16" s="648" t="s">
        <v>240</v>
      </c>
      <c r="Q16" s="635">
        <v>0</v>
      </c>
      <c r="R16" s="639">
        <v>0</v>
      </c>
      <c r="S16" s="639">
        <v>6</v>
      </c>
      <c r="T16" s="639">
        <v>0</v>
      </c>
      <c r="U16" s="639">
        <v>42</v>
      </c>
      <c r="V16" s="643">
        <f t="shared" ref="V16:V20" si="9">SUM(Q16:U16)</f>
        <v>48</v>
      </c>
      <c r="W16" s="635">
        <v>0</v>
      </c>
      <c r="X16" s="642">
        <v>48</v>
      </c>
      <c r="Y16" s="633" t="s">
        <v>243</v>
      </c>
      <c r="Z16" s="177">
        <f t="shared" si="2"/>
        <v>1908</v>
      </c>
      <c r="AA16" s="153"/>
      <c r="AB16" s="153"/>
    </row>
    <row r="17" spans="1:28" s="22" customFormat="1" x14ac:dyDescent="0.3">
      <c r="A17" s="693"/>
      <c r="B17" s="349" t="s">
        <v>69</v>
      </c>
      <c r="C17" s="344">
        <v>3</v>
      </c>
      <c r="D17" s="340">
        <v>0</v>
      </c>
      <c r="E17" s="340">
        <v>4</v>
      </c>
      <c r="F17" s="345">
        <v>24</v>
      </c>
      <c r="G17" s="346">
        <f t="shared" si="0"/>
        <v>31</v>
      </c>
      <c r="H17" s="476">
        <f t="shared" si="3"/>
        <v>19</v>
      </c>
      <c r="I17" s="347">
        <f t="shared" si="4"/>
        <v>0.61290322580645162</v>
      </c>
      <c r="J17" s="340">
        <v>160</v>
      </c>
      <c r="K17" s="340">
        <v>4</v>
      </c>
      <c r="L17" s="340">
        <v>186</v>
      </c>
      <c r="M17" s="151">
        <f t="shared" si="5"/>
        <v>191</v>
      </c>
      <c r="N17" s="348" t="s">
        <v>153</v>
      </c>
      <c r="O17" s="572"/>
      <c r="P17" s="648" t="s">
        <v>242</v>
      </c>
      <c r="Q17" s="635">
        <v>0</v>
      </c>
      <c r="R17" s="639">
        <v>0</v>
      </c>
      <c r="S17" s="639">
        <v>0</v>
      </c>
      <c r="T17" s="639">
        <v>0</v>
      </c>
      <c r="U17" s="639">
        <v>5</v>
      </c>
      <c r="V17" s="643">
        <f t="shared" si="9"/>
        <v>5</v>
      </c>
      <c r="W17" s="635">
        <v>0</v>
      </c>
      <c r="X17" s="642">
        <v>5</v>
      </c>
      <c r="Y17" s="633" t="s">
        <v>244</v>
      </c>
      <c r="Z17" s="177">
        <f t="shared" si="2"/>
        <v>196</v>
      </c>
      <c r="AA17" s="153"/>
      <c r="AB17" s="153"/>
    </row>
    <row r="18" spans="1:28" s="22" customFormat="1" x14ac:dyDescent="0.3">
      <c r="A18" s="693"/>
      <c r="B18" s="349" t="s">
        <v>70</v>
      </c>
      <c r="C18" s="344">
        <v>0</v>
      </c>
      <c r="D18" s="340">
        <v>10</v>
      </c>
      <c r="E18" s="340">
        <v>25</v>
      </c>
      <c r="F18" s="345">
        <v>0</v>
      </c>
      <c r="G18" s="346">
        <f t="shared" si="0"/>
        <v>35</v>
      </c>
      <c r="H18" s="476">
        <f t="shared" si="3"/>
        <v>35</v>
      </c>
      <c r="I18" s="347">
        <f t="shared" si="4"/>
        <v>1</v>
      </c>
      <c r="J18" s="340">
        <v>612</v>
      </c>
      <c r="K18" s="340">
        <v>100</v>
      </c>
      <c r="L18" s="340">
        <v>547</v>
      </c>
      <c r="M18" s="151">
        <f t="shared" si="5"/>
        <v>647</v>
      </c>
      <c r="N18" s="348" t="s">
        <v>147</v>
      </c>
      <c r="O18" s="572"/>
      <c r="P18" s="648"/>
      <c r="Q18" s="635">
        <v>0</v>
      </c>
      <c r="R18" s="639">
        <v>0</v>
      </c>
      <c r="S18" s="639">
        <v>0</v>
      </c>
      <c r="T18" s="639">
        <v>0</v>
      </c>
      <c r="U18" s="639">
        <v>0</v>
      </c>
      <c r="V18" s="643">
        <v>0</v>
      </c>
      <c r="W18" s="635">
        <v>0</v>
      </c>
      <c r="X18" s="642">
        <v>0</v>
      </c>
      <c r="Y18" s="633"/>
      <c r="Z18" s="177">
        <f t="shared" si="2"/>
        <v>647</v>
      </c>
      <c r="AA18" s="153"/>
      <c r="AB18" s="153"/>
    </row>
    <row r="19" spans="1:28" s="22" customFormat="1" x14ac:dyDescent="0.3">
      <c r="A19" s="693"/>
      <c r="B19" s="349" t="s">
        <v>71</v>
      </c>
      <c r="C19" s="344">
        <v>0</v>
      </c>
      <c r="D19" s="340">
        <v>0</v>
      </c>
      <c r="E19" s="340">
        <v>143</v>
      </c>
      <c r="F19" s="345">
        <v>208</v>
      </c>
      <c r="G19" s="346">
        <f t="shared" si="0"/>
        <v>351</v>
      </c>
      <c r="H19" s="476">
        <f t="shared" si="3"/>
        <v>247</v>
      </c>
      <c r="I19" s="347">
        <f t="shared" si="4"/>
        <v>0.70370370370370372</v>
      </c>
      <c r="J19" s="340">
        <v>197</v>
      </c>
      <c r="K19" s="340">
        <v>46</v>
      </c>
      <c r="L19" s="340">
        <v>503</v>
      </c>
      <c r="M19" s="151">
        <f t="shared" si="5"/>
        <v>548</v>
      </c>
      <c r="N19" s="348" t="s">
        <v>147</v>
      </c>
      <c r="O19" s="572"/>
      <c r="P19" s="648"/>
      <c r="Q19" s="635">
        <v>0</v>
      </c>
      <c r="R19" s="639">
        <v>0</v>
      </c>
      <c r="S19" s="639">
        <v>0</v>
      </c>
      <c r="T19" s="639">
        <v>0</v>
      </c>
      <c r="U19" s="639">
        <v>0</v>
      </c>
      <c r="V19" s="643">
        <v>0</v>
      </c>
      <c r="W19" s="635">
        <v>0</v>
      </c>
      <c r="X19" s="642">
        <v>0</v>
      </c>
      <c r="Y19" s="633"/>
      <c r="Z19" s="177">
        <f t="shared" si="2"/>
        <v>548</v>
      </c>
      <c r="AA19" s="153"/>
      <c r="AB19" s="153"/>
    </row>
    <row r="20" spans="1:28" s="22" customFormat="1" x14ac:dyDescent="0.3">
      <c r="A20" s="693"/>
      <c r="B20" s="349" t="s">
        <v>72</v>
      </c>
      <c r="C20" s="344">
        <v>0</v>
      </c>
      <c r="D20" s="340">
        <v>0</v>
      </c>
      <c r="E20" s="340">
        <v>0</v>
      </c>
      <c r="F20" s="345">
        <v>0</v>
      </c>
      <c r="G20" s="346">
        <v>0</v>
      </c>
      <c r="H20" s="476">
        <f t="shared" si="3"/>
        <v>0</v>
      </c>
      <c r="I20" s="347">
        <f t="shared" si="4"/>
        <v>0</v>
      </c>
      <c r="J20" s="340">
        <v>383</v>
      </c>
      <c r="K20" s="340">
        <v>190</v>
      </c>
      <c r="L20" s="340">
        <v>193</v>
      </c>
      <c r="M20" s="151">
        <f t="shared" si="5"/>
        <v>383</v>
      </c>
      <c r="N20" s="348" t="s">
        <v>154</v>
      </c>
      <c r="O20" s="572"/>
      <c r="P20" s="648" t="s">
        <v>242</v>
      </c>
      <c r="Q20" s="635">
        <v>0</v>
      </c>
      <c r="R20" s="639">
        <v>0</v>
      </c>
      <c r="S20" s="639">
        <v>0</v>
      </c>
      <c r="T20" s="639">
        <v>0</v>
      </c>
      <c r="U20" s="639">
        <v>207</v>
      </c>
      <c r="V20" s="643">
        <f t="shared" si="9"/>
        <v>207</v>
      </c>
      <c r="W20" s="635">
        <v>69</v>
      </c>
      <c r="X20" s="642">
        <v>138</v>
      </c>
      <c r="Y20" s="633" t="s">
        <v>245</v>
      </c>
      <c r="Z20" s="177">
        <f t="shared" si="2"/>
        <v>590</v>
      </c>
      <c r="AA20" s="153"/>
      <c r="AB20" s="153"/>
    </row>
    <row r="21" spans="1:28" s="22" customFormat="1" x14ac:dyDescent="0.3">
      <c r="A21" s="693"/>
      <c r="B21" s="349" t="s">
        <v>73</v>
      </c>
      <c r="C21" s="344">
        <v>0</v>
      </c>
      <c r="D21" s="340">
        <v>0</v>
      </c>
      <c r="E21" s="340">
        <v>0</v>
      </c>
      <c r="F21" s="345">
        <v>184</v>
      </c>
      <c r="G21" s="346">
        <f>SUM(C21:F21)</f>
        <v>184</v>
      </c>
      <c r="H21" s="476">
        <f t="shared" si="3"/>
        <v>92</v>
      </c>
      <c r="I21" s="347">
        <f>IF(G21&lt;1,0,H21/G21)</f>
        <v>0.5</v>
      </c>
      <c r="J21" s="340">
        <v>900</v>
      </c>
      <c r="K21" s="340">
        <v>39</v>
      </c>
      <c r="L21" s="340">
        <v>1046</v>
      </c>
      <c r="M21" s="151">
        <f t="shared" si="5"/>
        <v>1084</v>
      </c>
      <c r="N21" s="348" t="s">
        <v>147</v>
      </c>
      <c r="O21" s="572"/>
      <c r="P21" s="648"/>
      <c r="Q21" s="635">
        <v>0</v>
      </c>
      <c r="R21" s="639">
        <v>0</v>
      </c>
      <c r="S21" s="639">
        <v>0</v>
      </c>
      <c r="T21" s="639">
        <v>0</v>
      </c>
      <c r="U21" s="639">
        <v>0</v>
      </c>
      <c r="V21" s="643">
        <v>0</v>
      </c>
      <c r="W21" s="635">
        <v>0</v>
      </c>
      <c r="X21" s="642">
        <v>0</v>
      </c>
      <c r="Y21" s="633"/>
      <c r="Z21" s="177">
        <f t="shared" si="2"/>
        <v>1084</v>
      </c>
      <c r="AA21" s="153"/>
      <c r="AB21" s="153"/>
    </row>
    <row r="22" spans="1:28" s="22" customFormat="1" x14ac:dyDescent="0.3">
      <c r="A22" s="693"/>
      <c r="B22" s="350" t="s">
        <v>74</v>
      </c>
      <c r="C22" s="351">
        <v>0</v>
      </c>
      <c r="D22" s="352">
        <v>8</v>
      </c>
      <c r="E22" s="352">
        <v>8</v>
      </c>
      <c r="F22" s="353">
        <v>293</v>
      </c>
      <c r="G22" s="354">
        <f>SUM(C22:F22)</f>
        <v>309</v>
      </c>
      <c r="H22" s="477">
        <f t="shared" si="3"/>
        <v>162.5</v>
      </c>
      <c r="I22" s="355">
        <f t="shared" si="4"/>
        <v>0.52588996763754048</v>
      </c>
      <c r="J22" s="352">
        <v>226</v>
      </c>
      <c r="K22" s="352">
        <v>41</v>
      </c>
      <c r="L22" s="352">
        <v>495</v>
      </c>
      <c r="M22" s="214">
        <f t="shared" si="5"/>
        <v>535</v>
      </c>
      <c r="N22" s="356" t="s">
        <v>148</v>
      </c>
      <c r="O22" s="572"/>
      <c r="P22" s="650"/>
      <c r="Q22" s="640">
        <v>0</v>
      </c>
      <c r="R22" s="638">
        <v>0</v>
      </c>
      <c r="S22" s="638">
        <v>0</v>
      </c>
      <c r="T22" s="638">
        <v>0</v>
      </c>
      <c r="U22" s="638">
        <v>0</v>
      </c>
      <c r="V22" s="645">
        <v>0</v>
      </c>
      <c r="W22" s="640">
        <v>0</v>
      </c>
      <c r="X22" s="637">
        <v>0</v>
      </c>
      <c r="Y22" s="634"/>
      <c r="Z22" s="434">
        <f t="shared" si="2"/>
        <v>535</v>
      </c>
      <c r="AA22" s="153"/>
      <c r="AB22" s="153"/>
    </row>
    <row r="23" spans="1:28" s="22" customFormat="1" x14ac:dyDescent="0.3">
      <c r="A23" s="392" t="s">
        <v>14</v>
      </c>
      <c r="B23" s="358" t="s">
        <v>173</v>
      </c>
      <c r="C23" s="359">
        <f>SUM(C14:C22)</f>
        <v>880</v>
      </c>
      <c r="D23" s="333">
        <f>SUM(D14:D22)</f>
        <v>493</v>
      </c>
      <c r="E23" s="333">
        <f t="shared" ref="E23:F23" si="10">SUM(E14:E22)</f>
        <v>740</v>
      </c>
      <c r="F23" s="360">
        <f t="shared" si="10"/>
        <v>2149</v>
      </c>
      <c r="G23" s="333">
        <f>SUM(C23:F23)</f>
        <v>4262</v>
      </c>
      <c r="H23" s="374">
        <f t="shared" si="3"/>
        <v>3187.5</v>
      </c>
      <c r="I23" s="334">
        <f t="shared" si="4"/>
        <v>0.74788831534490852</v>
      </c>
      <c r="J23" s="333">
        <f t="shared" ref="J23" si="11">SUM(J14:J22)</f>
        <v>4396</v>
      </c>
      <c r="K23" s="333">
        <f>SUM(K14:K22)</f>
        <v>837</v>
      </c>
      <c r="L23" s="333">
        <f>SUM(L14:L22)</f>
        <v>7821</v>
      </c>
      <c r="M23" s="217">
        <f t="shared" si="5"/>
        <v>8658</v>
      </c>
      <c r="N23" s="361"/>
      <c r="O23" s="572"/>
      <c r="P23" s="289"/>
      <c r="Q23" s="72">
        <f>SUM(Q14:Q22)</f>
        <v>0</v>
      </c>
      <c r="R23" s="71">
        <f>SUM(R14:R22)</f>
        <v>0</v>
      </c>
      <c r="S23" s="71">
        <f t="shared" ref="S23:U23" si="12">SUM(S14:S22)</f>
        <v>17</v>
      </c>
      <c r="T23" s="71">
        <f t="shared" si="12"/>
        <v>20</v>
      </c>
      <c r="U23" s="71">
        <f t="shared" si="12"/>
        <v>264</v>
      </c>
      <c r="V23" s="75">
        <f>SUM(V14:V22)</f>
        <v>301</v>
      </c>
      <c r="W23" s="72">
        <f>SUM(W14:W22)</f>
        <v>72</v>
      </c>
      <c r="X23" s="75">
        <f>SUM(X14:X22)</f>
        <v>229</v>
      </c>
      <c r="Y23" s="49"/>
      <c r="Z23" s="435">
        <f t="shared" si="2"/>
        <v>8959</v>
      </c>
      <c r="AA23" s="153"/>
      <c r="AB23" s="153"/>
    </row>
    <row r="24" spans="1:28" s="22" customFormat="1" x14ac:dyDescent="0.3">
      <c r="A24" s="697" t="s">
        <v>129</v>
      </c>
      <c r="B24" s="349" t="s">
        <v>20</v>
      </c>
      <c r="C24" s="344">
        <v>1573.7891420000001</v>
      </c>
      <c r="D24" s="340">
        <v>163.16569699999999</v>
      </c>
      <c r="E24" s="340">
        <v>2418.411987</v>
      </c>
      <c r="F24" s="345">
        <v>565.98814000000004</v>
      </c>
      <c r="G24" s="340">
        <f>SUM(C24:F24)</f>
        <v>4721.3549659999999</v>
      </c>
      <c r="H24" s="478">
        <f t="shared" si="3"/>
        <v>4438.3608959999992</v>
      </c>
      <c r="I24" s="341">
        <f t="shared" si="4"/>
        <v>0.94006083591724576</v>
      </c>
      <c r="J24" s="340">
        <v>343.88704300000001</v>
      </c>
      <c r="K24" s="340">
        <v>811.97203400000001</v>
      </c>
      <c r="L24" s="340">
        <v>4253.2699759999996</v>
      </c>
      <c r="M24" s="216">
        <f t="shared" si="5"/>
        <v>5065.2420089999996</v>
      </c>
      <c r="N24" s="362" t="s">
        <v>56</v>
      </c>
      <c r="O24" s="572"/>
      <c r="P24" s="287" t="s">
        <v>201</v>
      </c>
      <c r="Q24" s="69">
        <v>497.58506499999999</v>
      </c>
      <c r="R24" s="77">
        <v>143.29147399999999</v>
      </c>
      <c r="S24" s="77">
        <v>862.97542999999996</v>
      </c>
      <c r="T24" s="77">
        <v>157.714631</v>
      </c>
      <c r="U24" s="77">
        <v>85.922109000000006</v>
      </c>
      <c r="V24" s="80">
        <f t="shared" ref="V24:V26" si="13">SUM(Q24:U24)</f>
        <v>1747.488709</v>
      </c>
      <c r="W24" s="69">
        <v>1747.4887080000001</v>
      </c>
      <c r="X24" s="80">
        <v>0</v>
      </c>
      <c r="Y24" s="25" t="s">
        <v>58</v>
      </c>
      <c r="Z24" s="436">
        <f t="shared" si="2"/>
        <v>6812.7307179999998</v>
      </c>
      <c r="AA24" s="153"/>
      <c r="AB24" s="153"/>
    </row>
    <row r="25" spans="1:28" s="22" customFormat="1" x14ac:dyDescent="0.3">
      <c r="A25" s="698"/>
      <c r="B25" s="363" t="s">
        <v>59</v>
      </c>
      <c r="C25" s="364">
        <v>0</v>
      </c>
      <c r="D25" s="346">
        <v>0</v>
      </c>
      <c r="E25" s="346">
        <v>0</v>
      </c>
      <c r="F25" s="365">
        <v>7.6005200000000004</v>
      </c>
      <c r="G25" s="346">
        <f>SUM(C25:F25)</f>
        <v>7.6005200000000004</v>
      </c>
      <c r="H25" s="476">
        <f t="shared" si="3"/>
        <v>3.8002600000000002</v>
      </c>
      <c r="I25" s="347">
        <f t="shared" si="4"/>
        <v>0.5</v>
      </c>
      <c r="J25" s="346">
        <v>668.43455600000004</v>
      </c>
      <c r="K25" s="346">
        <v>26.118659999999998</v>
      </c>
      <c r="L25" s="346">
        <v>650.04985599999998</v>
      </c>
      <c r="M25" s="151">
        <f t="shared" si="5"/>
        <v>676.035076</v>
      </c>
      <c r="N25" s="366" t="s">
        <v>60</v>
      </c>
      <c r="O25" s="572"/>
      <c r="P25" s="299" t="s">
        <v>201</v>
      </c>
      <c r="Q25" s="84">
        <v>0</v>
      </c>
      <c r="R25" s="102">
        <v>0</v>
      </c>
      <c r="S25" s="102">
        <v>0</v>
      </c>
      <c r="T25" s="102">
        <v>0</v>
      </c>
      <c r="U25" s="102">
        <v>43.571154</v>
      </c>
      <c r="V25" s="81">
        <f t="shared" si="13"/>
        <v>43.571154</v>
      </c>
      <c r="W25" s="84">
        <v>43.571154</v>
      </c>
      <c r="X25" s="81">
        <v>0</v>
      </c>
      <c r="Y25" s="51" t="s">
        <v>58</v>
      </c>
      <c r="Z25" s="177">
        <f t="shared" si="2"/>
        <v>719.60622999999998</v>
      </c>
      <c r="AA25" s="153"/>
      <c r="AB25" s="153"/>
    </row>
    <row r="26" spans="1:28" s="22" customFormat="1" x14ac:dyDescent="0.3">
      <c r="A26" s="699"/>
      <c r="B26" s="367" t="s">
        <v>61</v>
      </c>
      <c r="C26" s="368">
        <v>0</v>
      </c>
      <c r="D26" s="354">
        <v>0</v>
      </c>
      <c r="E26" s="354">
        <v>0</v>
      </c>
      <c r="F26" s="369">
        <v>0</v>
      </c>
      <c r="G26" s="354">
        <v>0</v>
      </c>
      <c r="H26" s="477">
        <f t="shared" si="3"/>
        <v>0</v>
      </c>
      <c r="I26" s="355">
        <f t="shared" si="4"/>
        <v>0</v>
      </c>
      <c r="J26" s="354">
        <v>64.410450999999995</v>
      </c>
      <c r="K26" s="354">
        <v>0</v>
      </c>
      <c r="L26" s="354">
        <v>64.277010000000004</v>
      </c>
      <c r="M26" s="214">
        <f t="shared" si="5"/>
        <v>64.410450999999995</v>
      </c>
      <c r="N26" s="370">
        <v>2017</v>
      </c>
      <c r="O26" s="572"/>
      <c r="P26" s="302" t="s">
        <v>201</v>
      </c>
      <c r="Q26" s="96">
        <v>86.873819999999995</v>
      </c>
      <c r="R26" s="93">
        <v>0</v>
      </c>
      <c r="S26" s="93">
        <v>31.200416000000001</v>
      </c>
      <c r="T26" s="93">
        <v>0</v>
      </c>
      <c r="U26" s="93">
        <v>11.304932000000001</v>
      </c>
      <c r="V26" s="90">
        <f t="shared" si="13"/>
        <v>129.37916799999999</v>
      </c>
      <c r="W26" s="96">
        <v>129.37916799999999</v>
      </c>
      <c r="X26" s="90">
        <v>0</v>
      </c>
      <c r="Y26" s="54" t="s">
        <v>58</v>
      </c>
      <c r="Z26" s="110">
        <f t="shared" si="2"/>
        <v>193.78961899999999</v>
      </c>
      <c r="AA26" s="153"/>
      <c r="AB26" s="153"/>
    </row>
    <row r="27" spans="1:28" s="5" customFormat="1" ht="15" thickBot="1" x14ac:dyDescent="0.35">
      <c r="A27" s="371" t="s">
        <v>14</v>
      </c>
      <c r="B27" s="372" t="s">
        <v>171</v>
      </c>
      <c r="C27" s="373">
        <f>SUM(C24:C26)</f>
        <v>1573.7891420000001</v>
      </c>
      <c r="D27" s="374">
        <f>SUM(D24:D26)</f>
        <v>163.16569699999999</v>
      </c>
      <c r="E27" s="374">
        <f t="shared" ref="E27:F27" si="14">SUM(E24:E26)</f>
        <v>2418.411987</v>
      </c>
      <c r="F27" s="375">
        <f t="shared" si="14"/>
        <v>573.58866</v>
      </c>
      <c r="G27" s="333">
        <f>SUM(C27:F27)</f>
        <v>4728.9554859999998</v>
      </c>
      <c r="H27" s="480">
        <f t="shared" si="3"/>
        <v>4442.1611559999992</v>
      </c>
      <c r="I27" s="376">
        <f>IF(G27&lt;1,0,H27/G27)</f>
        <v>0.93935355685858091</v>
      </c>
      <c r="J27" s="374">
        <f t="shared" ref="J27" si="15">SUM(J24:J26)</f>
        <v>1076.7320500000001</v>
      </c>
      <c r="K27" s="374">
        <f>SUM(K24:K26)</f>
        <v>838.09069399999998</v>
      </c>
      <c r="L27" s="374">
        <f>SUM(L24:L26)</f>
        <v>4967.596841999999</v>
      </c>
      <c r="M27" s="218">
        <f t="shared" si="5"/>
        <v>5805.6875359999995</v>
      </c>
      <c r="N27" s="377"/>
      <c r="O27" s="572"/>
      <c r="P27" s="303"/>
      <c r="Q27" s="87">
        <f>SUM(Q24:Q26)</f>
        <v>584.45888500000001</v>
      </c>
      <c r="R27" s="101">
        <f>SUM(R24:R26)</f>
        <v>143.29147399999999</v>
      </c>
      <c r="S27" s="101">
        <f t="shared" ref="S27:Y27" si="16">SUM(S24:S26)</f>
        <v>894.17584599999998</v>
      </c>
      <c r="T27" s="101">
        <f t="shared" si="16"/>
        <v>157.714631</v>
      </c>
      <c r="U27" s="101">
        <f t="shared" si="16"/>
        <v>140.79819500000002</v>
      </c>
      <c r="V27" s="75">
        <f>SUM(V24:V26)</f>
        <v>1920.4390309999999</v>
      </c>
      <c r="W27" s="87">
        <f>SUM(W24:W26)</f>
        <v>1920.43903</v>
      </c>
      <c r="X27" s="98">
        <f>SUM(X24:X26)</f>
        <v>0</v>
      </c>
      <c r="Y27" s="55">
        <f t="shared" si="16"/>
        <v>0</v>
      </c>
      <c r="Z27" s="273">
        <f t="shared" si="2"/>
        <v>7726.1265669999993</v>
      </c>
      <c r="AA27" s="153"/>
      <c r="AB27" s="35"/>
    </row>
    <row r="28" spans="1:28" s="35" customFormat="1" ht="15" thickBot="1" x14ac:dyDescent="0.35">
      <c r="A28" s="378" t="s">
        <v>7</v>
      </c>
      <c r="B28" s="379" t="s">
        <v>130</v>
      </c>
      <c r="C28" s="407">
        <f t="shared" ref="C28:L28" si="17">C13+C23+C27</f>
        <v>2453.7891420000001</v>
      </c>
      <c r="D28" s="408">
        <f t="shared" si="17"/>
        <v>1367.1656969999999</v>
      </c>
      <c r="E28" s="408">
        <f t="shared" si="17"/>
        <v>9555.4119869999995</v>
      </c>
      <c r="F28" s="408">
        <f t="shared" si="17"/>
        <v>11610.588659999999</v>
      </c>
      <c r="G28" s="408">
        <f t="shared" si="17"/>
        <v>24986.955485999999</v>
      </c>
      <c r="H28" s="408">
        <f t="shared" si="3"/>
        <v>19181.661155999998</v>
      </c>
      <c r="I28" s="381">
        <f t="shared" si="4"/>
        <v>0.76766699995713117</v>
      </c>
      <c r="J28" s="380">
        <f t="shared" si="17"/>
        <v>14050.732050000001</v>
      </c>
      <c r="K28" s="380">
        <f t="shared" si="17"/>
        <v>6476.0906940000004</v>
      </c>
      <c r="L28" s="380">
        <f t="shared" si="17"/>
        <v>32561.596841999999</v>
      </c>
      <c r="M28" s="581">
        <f t="shared" si="5"/>
        <v>39037.687535999998</v>
      </c>
      <c r="N28" s="382"/>
      <c r="O28" s="572"/>
      <c r="P28" s="304"/>
      <c r="Q28" s="95">
        <f t="shared" ref="Q28:U28" si="18">+Q13+Q23+Q27</f>
        <v>584.45888500000001</v>
      </c>
      <c r="R28" s="92">
        <f t="shared" si="18"/>
        <v>143.29147399999999</v>
      </c>
      <c r="S28" s="92">
        <f t="shared" si="18"/>
        <v>10911.175846</v>
      </c>
      <c r="T28" s="92">
        <f t="shared" si="18"/>
        <v>5757.7146309999998</v>
      </c>
      <c r="U28" s="92">
        <f t="shared" si="18"/>
        <v>5597.7981950000003</v>
      </c>
      <c r="V28" s="118">
        <f>+V13+V23+V27</f>
        <v>22994.439031000002</v>
      </c>
      <c r="W28" s="95">
        <f>+W13+W23+W27</f>
        <v>10301.63903</v>
      </c>
      <c r="X28" s="89">
        <f>+X13+X23+X27</f>
        <v>12692.8</v>
      </c>
      <c r="Y28" s="66"/>
      <c r="Z28" s="109">
        <f t="shared" si="2"/>
        <v>62032.126566999999</v>
      </c>
      <c r="AA28" s="153"/>
    </row>
    <row r="29" spans="1:28" s="35" customFormat="1" ht="16.8" thickBot="1" x14ac:dyDescent="0.35">
      <c r="A29" s="378"/>
      <c r="B29" s="379" t="s">
        <v>216</v>
      </c>
      <c r="C29" s="583">
        <f>C28*$AA$3</f>
        <v>674792.01405</v>
      </c>
      <c r="D29" s="514">
        <f t="shared" ref="D29:H29" si="19">D28*$AA$3</f>
        <v>375970.56667499995</v>
      </c>
      <c r="E29" s="514">
        <f t="shared" si="19"/>
        <v>2627738.2964249998</v>
      </c>
      <c r="F29" s="514">
        <f t="shared" si="19"/>
        <v>3192911.8814999997</v>
      </c>
      <c r="G29" s="514">
        <f t="shared" si="19"/>
        <v>6871412.7586499993</v>
      </c>
      <c r="H29" s="514">
        <f t="shared" si="19"/>
        <v>5274956.8178999992</v>
      </c>
      <c r="I29" s="515"/>
      <c r="J29" s="515"/>
      <c r="K29" s="515"/>
      <c r="L29" s="515"/>
      <c r="M29" s="515"/>
      <c r="N29" s="516"/>
      <c r="O29" s="572"/>
      <c r="P29" s="304"/>
      <c r="Q29" s="95"/>
      <c r="R29" s="92"/>
      <c r="S29" s="92"/>
      <c r="T29" s="92"/>
      <c r="U29" s="92"/>
      <c r="V29" s="118"/>
      <c r="W29" s="95"/>
      <c r="X29" s="89"/>
      <c r="Y29" s="66"/>
      <c r="Z29" s="109">
        <f t="shared" si="2"/>
        <v>6871412.7586499993</v>
      </c>
      <c r="AA29" s="153"/>
    </row>
    <row r="30" spans="1:28" x14ac:dyDescent="0.3">
      <c r="A30" s="686" t="s">
        <v>89</v>
      </c>
      <c r="B30" s="385" t="s">
        <v>22</v>
      </c>
      <c r="C30" s="344">
        <v>0</v>
      </c>
      <c r="D30" s="340">
        <v>27</v>
      </c>
      <c r="E30" s="340">
        <v>0</v>
      </c>
      <c r="F30" s="345">
        <v>43</v>
      </c>
      <c r="G30" s="340">
        <f>SUM(C30:F30)</f>
        <v>70</v>
      </c>
      <c r="H30" s="478">
        <f t="shared" si="3"/>
        <v>48.5</v>
      </c>
      <c r="I30" s="347">
        <f t="shared" si="4"/>
        <v>0.69285714285714284</v>
      </c>
      <c r="J30" s="340">
        <v>94</v>
      </c>
      <c r="K30" s="340">
        <v>1</v>
      </c>
      <c r="L30" s="340">
        <v>163</v>
      </c>
      <c r="M30" s="151">
        <f t="shared" si="5"/>
        <v>164</v>
      </c>
      <c r="N30" s="348" t="s">
        <v>91</v>
      </c>
      <c r="O30" s="571"/>
      <c r="P30" s="287"/>
      <c r="Q30" s="162">
        <v>0</v>
      </c>
      <c r="R30" s="165">
        <v>0</v>
      </c>
      <c r="S30" s="165">
        <v>0</v>
      </c>
      <c r="T30" s="165">
        <v>0</v>
      </c>
      <c r="U30" s="165">
        <v>0</v>
      </c>
      <c r="V30" s="80">
        <v>0</v>
      </c>
      <c r="W30" s="628"/>
      <c r="X30" s="630"/>
      <c r="Y30" s="25"/>
      <c r="Z30" s="433">
        <f t="shared" si="2"/>
        <v>164</v>
      </c>
      <c r="AA30" s="153"/>
    </row>
    <row r="31" spans="1:28" s="28" customFormat="1" x14ac:dyDescent="0.3">
      <c r="A31" s="687"/>
      <c r="B31" s="386" t="s">
        <v>120</v>
      </c>
      <c r="C31" s="344">
        <v>0</v>
      </c>
      <c r="D31" s="340">
        <v>0</v>
      </c>
      <c r="E31" s="340">
        <v>0</v>
      </c>
      <c r="F31" s="345">
        <v>55</v>
      </c>
      <c r="G31" s="346">
        <f>SUM(C31:F31)</f>
        <v>55</v>
      </c>
      <c r="H31" s="476">
        <f t="shared" si="3"/>
        <v>27.5</v>
      </c>
      <c r="I31" s="347">
        <f t="shared" si="4"/>
        <v>0.5</v>
      </c>
      <c r="J31" s="340">
        <v>34</v>
      </c>
      <c r="K31" s="340" t="s">
        <v>90</v>
      </c>
      <c r="L31" s="340">
        <v>89</v>
      </c>
      <c r="M31" s="151">
        <f t="shared" si="5"/>
        <v>89</v>
      </c>
      <c r="N31" s="348" t="s">
        <v>92</v>
      </c>
      <c r="O31" s="571"/>
      <c r="P31" s="287"/>
      <c r="Q31" s="69">
        <v>0</v>
      </c>
      <c r="R31" s="77">
        <v>0</v>
      </c>
      <c r="S31" s="77">
        <v>0</v>
      </c>
      <c r="T31" s="77">
        <v>0</v>
      </c>
      <c r="U31" s="77">
        <v>0</v>
      </c>
      <c r="V31" s="81">
        <v>0</v>
      </c>
      <c r="W31" s="628"/>
      <c r="X31" s="630"/>
      <c r="Y31" s="25"/>
      <c r="Z31" s="177">
        <f t="shared" si="2"/>
        <v>89</v>
      </c>
      <c r="AA31" s="153"/>
      <c r="AB31" s="153"/>
    </row>
    <row r="32" spans="1:28" s="28" customFormat="1" x14ac:dyDescent="0.3">
      <c r="A32" s="687"/>
      <c r="B32" s="386" t="s">
        <v>121</v>
      </c>
      <c r="C32" s="344">
        <v>0</v>
      </c>
      <c r="D32" s="340">
        <v>8</v>
      </c>
      <c r="E32" s="340">
        <v>268</v>
      </c>
      <c r="F32" s="345">
        <v>2160</v>
      </c>
      <c r="G32" s="346">
        <f>SUM(C32:F32)</f>
        <v>2436</v>
      </c>
      <c r="H32" s="476">
        <f t="shared" si="3"/>
        <v>1356</v>
      </c>
      <c r="I32" s="347">
        <f t="shared" si="4"/>
        <v>0.55665024630541871</v>
      </c>
      <c r="J32" s="340">
        <v>542</v>
      </c>
      <c r="K32" s="340">
        <v>285</v>
      </c>
      <c r="L32" s="340">
        <v>2692</v>
      </c>
      <c r="M32" s="151">
        <f t="shared" si="5"/>
        <v>2978</v>
      </c>
      <c r="N32" s="348" t="s">
        <v>93</v>
      </c>
      <c r="O32" s="571"/>
      <c r="P32" s="287" t="s">
        <v>201</v>
      </c>
      <c r="Q32" s="69">
        <v>0</v>
      </c>
      <c r="R32" s="77">
        <v>0</v>
      </c>
      <c r="S32" s="77">
        <v>0</v>
      </c>
      <c r="T32" s="77">
        <v>0</v>
      </c>
      <c r="U32" s="77">
        <v>28</v>
      </c>
      <c r="V32" s="81">
        <f t="shared" ref="V32:V71" si="20">SUM(Q32:U32)</f>
        <v>28</v>
      </c>
      <c r="W32" s="626">
        <f>0.4*V32</f>
        <v>11.200000000000001</v>
      </c>
      <c r="X32" s="631">
        <f>0.6*V32</f>
        <v>16.8</v>
      </c>
      <c r="Y32" s="25" t="s">
        <v>116</v>
      </c>
      <c r="Z32" s="177">
        <f t="shared" si="2"/>
        <v>3006</v>
      </c>
      <c r="AA32" s="153"/>
      <c r="AB32" s="153"/>
    </row>
    <row r="33" spans="1:28" s="28" customFormat="1" x14ac:dyDescent="0.3">
      <c r="A33" s="687"/>
      <c r="B33" s="386" t="s">
        <v>122</v>
      </c>
      <c r="C33" s="344">
        <v>0</v>
      </c>
      <c r="D33" s="340">
        <v>0</v>
      </c>
      <c r="E33" s="340">
        <v>0</v>
      </c>
      <c r="F33" s="345">
        <v>0</v>
      </c>
      <c r="G33" s="346">
        <v>0</v>
      </c>
      <c r="H33" s="476">
        <f t="shared" si="3"/>
        <v>0</v>
      </c>
      <c r="I33" s="347">
        <f t="shared" si="4"/>
        <v>0</v>
      </c>
      <c r="J33" s="340">
        <v>0</v>
      </c>
      <c r="K33" s="340" t="s">
        <v>90</v>
      </c>
      <c r="L33" s="340" t="s">
        <v>94</v>
      </c>
      <c r="M33" s="151">
        <f t="shared" si="5"/>
        <v>0</v>
      </c>
      <c r="N33" s="348"/>
      <c r="O33" s="571"/>
      <c r="P33" s="287" t="s">
        <v>201</v>
      </c>
      <c r="Q33" s="69">
        <v>0</v>
      </c>
      <c r="R33" s="77">
        <v>0</v>
      </c>
      <c r="S33" s="77">
        <v>0</v>
      </c>
      <c r="T33" s="77">
        <v>0</v>
      </c>
      <c r="U33" s="77">
        <v>70</v>
      </c>
      <c r="V33" s="81">
        <f t="shared" si="20"/>
        <v>70</v>
      </c>
      <c r="W33" s="626">
        <f t="shared" ref="W33:W39" si="21">0.4*V33</f>
        <v>28</v>
      </c>
      <c r="X33" s="631">
        <f t="shared" ref="X33:X39" si="22">0.6*V33</f>
        <v>42</v>
      </c>
      <c r="Y33" s="25" t="s">
        <v>116</v>
      </c>
      <c r="Z33" s="177">
        <f t="shared" si="2"/>
        <v>70</v>
      </c>
      <c r="AA33" s="153"/>
      <c r="AB33" s="153"/>
    </row>
    <row r="34" spans="1:28" s="28" customFormat="1" x14ac:dyDescent="0.3">
      <c r="A34" s="687"/>
      <c r="B34" s="386" t="s">
        <v>123</v>
      </c>
      <c r="C34" s="344">
        <v>0</v>
      </c>
      <c r="D34" s="340">
        <v>92</v>
      </c>
      <c r="E34" s="340">
        <v>69</v>
      </c>
      <c r="F34" s="345">
        <v>627</v>
      </c>
      <c r="G34" s="346">
        <f>SUM(C34:F34)</f>
        <v>788</v>
      </c>
      <c r="H34" s="476">
        <f t="shared" si="3"/>
        <v>474.5</v>
      </c>
      <c r="I34" s="347">
        <f t="shared" si="4"/>
        <v>0.60215736040609136</v>
      </c>
      <c r="J34" s="340">
        <v>324</v>
      </c>
      <c r="K34" s="340">
        <v>13</v>
      </c>
      <c r="L34" s="340">
        <v>1099</v>
      </c>
      <c r="M34" s="151">
        <f t="shared" si="5"/>
        <v>1112</v>
      </c>
      <c r="N34" s="348" t="s">
        <v>95</v>
      </c>
      <c r="O34" s="571"/>
      <c r="P34" s="287"/>
      <c r="Q34" s="69">
        <v>0</v>
      </c>
      <c r="R34" s="77">
        <v>0</v>
      </c>
      <c r="S34" s="77">
        <v>0</v>
      </c>
      <c r="T34" s="77">
        <v>0</v>
      </c>
      <c r="U34" s="77">
        <v>0</v>
      </c>
      <c r="V34" s="81">
        <v>0</v>
      </c>
      <c r="W34" s="626">
        <f t="shared" si="21"/>
        <v>0</v>
      </c>
      <c r="X34" s="631">
        <f t="shared" si="22"/>
        <v>0</v>
      </c>
      <c r="Y34" s="25"/>
      <c r="Z34" s="177">
        <f t="shared" si="2"/>
        <v>1112</v>
      </c>
      <c r="AA34" s="153"/>
      <c r="AB34" s="153"/>
    </row>
    <row r="35" spans="1:28" s="28" customFormat="1" x14ac:dyDescent="0.3">
      <c r="A35" s="687"/>
      <c r="B35" s="386" t="s">
        <v>124</v>
      </c>
      <c r="C35" s="344">
        <v>0</v>
      </c>
      <c r="D35" s="340">
        <v>17</v>
      </c>
      <c r="E35" s="340">
        <v>1023</v>
      </c>
      <c r="F35" s="345">
        <v>2950</v>
      </c>
      <c r="G35" s="346">
        <f>SUM(C35:F35)</f>
        <v>3990</v>
      </c>
      <c r="H35" s="476">
        <f t="shared" si="3"/>
        <v>2515</v>
      </c>
      <c r="I35" s="347">
        <f t="shared" si="4"/>
        <v>0.63032581453634084</v>
      </c>
      <c r="J35" s="340">
        <v>299</v>
      </c>
      <c r="K35" s="340">
        <v>1822</v>
      </c>
      <c r="L35" s="340">
        <v>2468</v>
      </c>
      <c r="M35" s="151">
        <f t="shared" si="5"/>
        <v>4289</v>
      </c>
      <c r="N35" s="348" t="s">
        <v>91</v>
      </c>
      <c r="O35" s="571"/>
      <c r="P35" s="287"/>
      <c r="Q35" s="69">
        <v>0</v>
      </c>
      <c r="R35" s="77">
        <v>0</v>
      </c>
      <c r="S35" s="77">
        <v>0</v>
      </c>
      <c r="T35" s="77">
        <v>0</v>
      </c>
      <c r="U35" s="77">
        <v>0</v>
      </c>
      <c r="V35" s="81">
        <v>0</v>
      </c>
      <c r="W35" s="626">
        <f t="shared" si="21"/>
        <v>0</v>
      </c>
      <c r="X35" s="631">
        <f t="shared" si="22"/>
        <v>0</v>
      </c>
      <c r="Y35" s="25"/>
      <c r="Z35" s="177">
        <f t="shared" si="2"/>
        <v>4289</v>
      </c>
      <c r="AA35" s="153"/>
      <c r="AB35" s="153"/>
    </row>
    <row r="36" spans="1:28" s="28" customFormat="1" x14ac:dyDescent="0.3">
      <c r="A36" s="687"/>
      <c r="B36" s="386" t="s">
        <v>125</v>
      </c>
      <c r="C36" s="344">
        <v>0</v>
      </c>
      <c r="D36" s="340">
        <v>0</v>
      </c>
      <c r="E36" s="340">
        <v>109</v>
      </c>
      <c r="F36" s="345">
        <v>1313</v>
      </c>
      <c r="G36" s="346">
        <f>SUM(C36:F36)</f>
        <v>1422</v>
      </c>
      <c r="H36" s="476">
        <f t="shared" si="3"/>
        <v>765.5</v>
      </c>
      <c r="I36" s="347">
        <f t="shared" si="4"/>
        <v>0.53832630098452883</v>
      </c>
      <c r="J36" s="340">
        <v>504</v>
      </c>
      <c r="K36" s="340">
        <v>132</v>
      </c>
      <c r="L36" s="340">
        <v>1795</v>
      </c>
      <c r="M36" s="151">
        <f t="shared" si="5"/>
        <v>1926</v>
      </c>
      <c r="N36" s="348" t="s">
        <v>96</v>
      </c>
      <c r="O36" s="571"/>
      <c r="P36" s="287"/>
      <c r="Q36" s="69">
        <v>0</v>
      </c>
      <c r="R36" s="77">
        <v>0</v>
      </c>
      <c r="S36" s="77">
        <v>0</v>
      </c>
      <c r="T36" s="77">
        <v>0</v>
      </c>
      <c r="U36" s="77">
        <v>0</v>
      </c>
      <c r="V36" s="81">
        <v>0</v>
      </c>
      <c r="W36" s="626">
        <f t="shared" si="21"/>
        <v>0</v>
      </c>
      <c r="X36" s="631">
        <f t="shared" si="22"/>
        <v>0</v>
      </c>
      <c r="Y36" s="25"/>
      <c r="Z36" s="177">
        <f t="shared" si="2"/>
        <v>1926</v>
      </c>
      <c r="AA36" s="153"/>
      <c r="AB36" s="153"/>
    </row>
    <row r="37" spans="1:28" s="28" customFormat="1" x14ac:dyDescent="0.3">
      <c r="A37" s="687"/>
      <c r="B37" s="386" t="s">
        <v>126</v>
      </c>
      <c r="C37" s="344">
        <v>0</v>
      </c>
      <c r="D37" s="340">
        <v>0</v>
      </c>
      <c r="E37" s="340">
        <v>0</v>
      </c>
      <c r="F37" s="345">
        <v>0</v>
      </c>
      <c r="G37" s="346">
        <v>0</v>
      </c>
      <c r="H37" s="476">
        <f t="shared" si="3"/>
        <v>0</v>
      </c>
      <c r="I37" s="347">
        <f t="shared" si="4"/>
        <v>0</v>
      </c>
      <c r="J37" s="340">
        <v>0</v>
      </c>
      <c r="K37" s="340" t="s">
        <v>90</v>
      </c>
      <c r="L37" s="340" t="s">
        <v>94</v>
      </c>
      <c r="M37" s="151">
        <f t="shared" si="5"/>
        <v>0</v>
      </c>
      <c r="N37" s="348"/>
      <c r="O37" s="571"/>
      <c r="P37" s="287" t="s">
        <v>201</v>
      </c>
      <c r="Q37" s="69">
        <v>0</v>
      </c>
      <c r="R37" s="77">
        <v>0</v>
      </c>
      <c r="S37" s="77">
        <v>0</v>
      </c>
      <c r="T37" s="77">
        <v>37</v>
      </c>
      <c r="U37" s="77">
        <v>0</v>
      </c>
      <c r="V37" s="81">
        <f t="shared" si="20"/>
        <v>37</v>
      </c>
      <c r="W37" s="626">
        <f t="shared" si="21"/>
        <v>14.8</v>
      </c>
      <c r="X37" s="631">
        <f t="shared" si="22"/>
        <v>22.2</v>
      </c>
      <c r="Y37" s="25" t="s">
        <v>116</v>
      </c>
      <c r="Z37" s="177">
        <f t="shared" si="2"/>
        <v>37</v>
      </c>
      <c r="AA37" s="153"/>
      <c r="AB37" s="153"/>
    </row>
    <row r="38" spans="1:28" s="28" customFormat="1" x14ac:dyDescent="0.3">
      <c r="A38" s="687"/>
      <c r="B38" s="386" t="s">
        <v>20</v>
      </c>
      <c r="C38" s="344">
        <v>0</v>
      </c>
      <c r="D38" s="340">
        <v>0</v>
      </c>
      <c r="E38" s="340">
        <v>0</v>
      </c>
      <c r="F38" s="345">
        <v>94</v>
      </c>
      <c r="G38" s="346">
        <f t="shared" ref="G38:G44" si="23">SUM(C38:F38)</f>
        <v>94</v>
      </c>
      <c r="H38" s="476">
        <f t="shared" si="3"/>
        <v>47</v>
      </c>
      <c r="I38" s="347">
        <f t="shared" si="4"/>
        <v>0.5</v>
      </c>
      <c r="J38" s="340">
        <v>0</v>
      </c>
      <c r="K38" s="340">
        <v>53</v>
      </c>
      <c r="L38" s="340">
        <v>41</v>
      </c>
      <c r="M38" s="151">
        <f t="shared" si="5"/>
        <v>94</v>
      </c>
      <c r="N38" s="348" t="s">
        <v>97</v>
      </c>
      <c r="O38" s="571"/>
      <c r="P38" s="287" t="s">
        <v>201</v>
      </c>
      <c r="Q38" s="69">
        <v>0</v>
      </c>
      <c r="R38" s="77">
        <v>0</v>
      </c>
      <c r="S38" s="77">
        <v>2</v>
      </c>
      <c r="T38" s="77">
        <v>0</v>
      </c>
      <c r="U38" s="77">
        <v>0</v>
      </c>
      <c r="V38" s="81">
        <f t="shared" si="20"/>
        <v>2</v>
      </c>
      <c r="W38" s="626">
        <f t="shared" si="21"/>
        <v>0.8</v>
      </c>
      <c r="X38" s="631">
        <f t="shared" si="22"/>
        <v>1.2</v>
      </c>
      <c r="Y38" s="25" t="s">
        <v>116</v>
      </c>
      <c r="Z38" s="177">
        <f t="shared" si="2"/>
        <v>96</v>
      </c>
      <c r="AA38" s="153"/>
      <c r="AB38" s="153"/>
    </row>
    <row r="39" spans="1:28" s="28" customFormat="1" x14ac:dyDescent="0.3">
      <c r="A39" s="687"/>
      <c r="B39" s="386" t="s">
        <v>127</v>
      </c>
      <c r="C39" s="344">
        <v>0</v>
      </c>
      <c r="D39" s="340">
        <v>26</v>
      </c>
      <c r="E39" s="340">
        <v>16</v>
      </c>
      <c r="F39" s="345">
        <v>485</v>
      </c>
      <c r="G39" s="346">
        <f t="shared" si="23"/>
        <v>527</v>
      </c>
      <c r="H39" s="476">
        <f t="shared" si="3"/>
        <v>284.5</v>
      </c>
      <c r="I39" s="347">
        <f t="shared" si="4"/>
        <v>0.53984819734345346</v>
      </c>
      <c r="J39" s="340">
        <v>340</v>
      </c>
      <c r="K39" s="340">
        <v>25</v>
      </c>
      <c r="L39" s="340">
        <v>842</v>
      </c>
      <c r="M39" s="151">
        <f t="shared" si="5"/>
        <v>867</v>
      </c>
      <c r="N39" s="348" t="s">
        <v>98</v>
      </c>
      <c r="O39" s="571"/>
      <c r="P39" s="287" t="s">
        <v>201</v>
      </c>
      <c r="Q39" s="69">
        <v>0</v>
      </c>
      <c r="R39" s="77">
        <v>173</v>
      </c>
      <c r="S39" s="77">
        <v>0</v>
      </c>
      <c r="T39" s="77">
        <v>35</v>
      </c>
      <c r="U39" s="77">
        <v>119</v>
      </c>
      <c r="V39" s="81">
        <f t="shared" si="20"/>
        <v>327</v>
      </c>
      <c r="W39" s="626">
        <f t="shared" si="21"/>
        <v>130.80000000000001</v>
      </c>
      <c r="X39" s="631">
        <f t="shared" si="22"/>
        <v>196.2</v>
      </c>
      <c r="Y39" s="25" t="s">
        <v>115</v>
      </c>
      <c r="Z39" s="177">
        <f t="shared" si="2"/>
        <v>1194</v>
      </c>
      <c r="AA39" s="153"/>
      <c r="AB39" s="153"/>
    </row>
    <row r="40" spans="1:28" s="28" customFormat="1" x14ac:dyDescent="0.3">
      <c r="A40" s="688"/>
      <c r="B40" s="387" t="s">
        <v>128</v>
      </c>
      <c r="C40" s="351">
        <v>0</v>
      </c>
      <c r="D40" s="352">
        <v>166</v>
      </c>
      <c r="E40" s="352">
        <v>132</v>
      </c>
      <c r="F40" s="353">
        <v>9</v>
      </c>
      <c r="G40" s="354">
        <f t="shared" si="23"/>
        <v>307</v>
      </c>
      <c r="H40" s="477">
        <f t="shared" si="3"/>
        <v>302.5</v>
      </c>
      <c r="I40" s="355">
        <f t="shared" si="4"/>
        <v>0.98534201954397393</v>
      </c>
      <c r="J40" s="352">
        <v>507</v>
      </c>
      <c r="K40" s="352">
        <v>5</v>
      </c>
      <c r="L40" s="352">
        <v>811</v>
      </c>
      <c r="M40" s="214">
        <f t="shared" si="5"/>
        <v>814</v>
      </c>
      <c r="N40" s="356" t="s">
        <v>93</v>
      </c>
      <c r="O40" s="571"/>
      <c r="P40" s="301"/>
      <c r="Q40" s="78">
        <v>0</v>
      </c>
      <c r="R40" s="74">
        <v>0</v>
      </c>
      <c r="S40" s="74">
        <v>0</v>
      </c>
      <c r="T40" s="74">
        <v>0</v>
      </c>
      <c r="U40" s="74">
        <v>0</v>
      </c>
      <c r="V40" s="90">
        <v>0</v>
      </c>
      <c r="W40" s="627"/>
      <c r="X40" s="629"/>
      <c r="Y40" s="26"/>
      <c r="Z40" s="110">
        <f t="shared" si="2"/>
        <v>814</v>
      </c>
      <c r="AA40" s="153"/>
      <c r="AB40" s="153"/>
    </row>
    <row r="41" spans="1:28" x14ac:dyDescent="0.3">
      <c r="A41" s="357" t="s">
        <v>14</v>
      </c>
      <c r="B41" s="388" t="s">
        <v>205</v>
      </c>
      <c r="C41" s="373">
        <f>SUM(C30:C40)</f>
        <v>0</v>
      </c>
      <c r="D41" s="374">
        <f>SUM(D30:D40)</f>
        <v>336</v>
      </c>
      <c r="E41" s="374">
        <f t="shared" ref="E41:F41" si="24">SUM(E30:E40)</f>
        <v>1617</v>
      </c>
      <c r="F41" s="375">
        <f t="shared" si="24"/>
        <v>7736</v>
      </c>
      <c r="G41" s="374">
        <f t="shared" si="23"/>
        <v>9689</v>
      </c>
      <c r="H41" s="374">
        <f t="shared" si="3"/>
        <v>5821</v>
      </c>
      <c r="I41" s="334">
        <f t="shared" si="4"/>
        <v>0.60078439467437295</v>
      </c>
      <c r="J41" s="374">
        <f t="shared" ref="J41" si="25">SUM(J30:J40)</f>
        <v>2644</v>
      </c>
      <c r="K41" s="374">
        <f>SUM(K30:K40)</f>
        <v>2336</v>
      </c>
      <c r="L41" s="374">
        <f>SUM(L30:L40)</f>
        <v>10000</v>
      </c>
      <c r="M41" s="217">
        <f t="shared" si="5"/>
        <v>12333</v>
      </c>
      <c r="N41" s="377"/>
      <c r="O41" s="573"/>
      <c r="P41" s="305" t="s">
        <v>90</v>
      </c>
      <c r="Q41" s="87">
        <f>SUM(Q30:Q40)</f>
        <v>0</v>
      </c>
      <c r="R41" s="175">
        <f>SUM(R30:R40)</f>
        <v>173</v>
      </c>
      <c r="S41" s="175">
        <f t="shared" ref="S41:T41" si="26">SUM(S30:S40)</f>
        <v>2</v>
      </c>
      <c r="T41" s="175">
        <f t="shared" si="26"/>
        <v>72</v>
      </c>
      <c r="U41" s="175">
        <f>SUM(U30:U40)</f>
        <v>217</v>
      </c>
      <c r="V41" s="98">
        <f>SUM(Q41:U41)</f>
        <v>464</v>
      </c>
      <c r="W41" s="87">
        <f>SUM(W30:W40)</f>
        <v>185.60000000000002</v>
      </c>
      <c r="X41" s="98">
        <f>SUM(X30:X40)</f>
        <v>278.39999999999998</v>
      </c>
      <c r="Y41" s="55"/>
      <c r="Z41" s="114">
        <f t="shared" ref="Z41:Z73" si="27">+G41+J41+V41</f>
        <v>12797</v>
      </c>
      <c r="AA41" s="153"/>
    </row>
    <row r="42" spans="1:28" s="129" customFormat="1" x14ac:dyDescent="0.3">
      <c r="A42" s="694" t="s">
        <v>157</v>
      </c>
      <c r="B42" s="349" t="s">
        <v>159</v>
      </c>
      <c r="C42" s="344">
        <v>0</v>
      </c>
      <c r="D42" s="340">
        <v>0</v>
      </c>
      <c r="E42" s="340">
        <v>0</v>
      </c>
      <c r="F42" s="345">
        <v>19</v>
      </c>
      <c r="G42" s="346">
        <f t="shared" si="23"/>
        <v>19</v>
      </c>
      <c r="H42" s="478">
        <f>C42+D42+E42+F42*0.5</f>
        <v>9.5</v>
      </c>
      <c r="I42" s="341">
        <f t="shared" si="4"/>
        <v>0.5</v>
      </c>
      <c r="J42" s="340">
        <v>0</v>
      </c>
      <c r="K42" s="340" t="s">
        <v>163</v>
      </c>
      <c r="L42" s="340">
        <v>19</v>
      </c>
      <c r="M42" s="216">
        <f t="shared" si="5"/>
        <v>19</v>
      </c>
      <c r="N42" s="348" t="s">
        <v>165</v>
      </c>
      <c r="O42" s="572"/>
      <c r="P42" s="287"/>
      <c r="Q42" s="162">
        <v>0</v>
      </c>
      <c r="R42" s="165">
        <v>0</v>
      </c>
      <c r="S42" s="165">
        <v>0</v>
      </c>
      <c r="T42" s="165">
        <v>0</v>
      </c>
      <c r="U42" s="165">
        <v>0</v>
      </c>
      <c r="V42" s="168">
        <f t="shared" si="20"/>
        <v>0</v>
      </c>
      <c r="W42" s="162"/>
      <c r="X42" s="167"/>
      <c r="Y42" s="169"/>
      <c r="Z42" s="435">
        <f t="shared" si="27"/>
        <v>19</v>
      </c>
      <c r="AA42" s="153"/>
      <c r="AB42" s="153"/>
    </row>
    <row r="43" spans="1:28" s="129" customFormat="1" x14ac:dyDescent="0.3">
      <c r="A43" s="695"/>
      <c r="B43" s="349" t="s">
        <v>160</v>
      </c>
      <c r="C43" s="344">
        <v>0</v>
      </c>
      <c r="D43" s="340">
        <v>443</v>
      </c>
      <c r="E43" s="340">
        <v>383</v>
      </c>
      <c r="F43" s="345">
        <v>3308</v>
      </c>
      <c r="G43" s="346">
        <f t="shared" si="23"/>
        <v>4134</v>
      </c>
      <c r="H43" s="476">
        <f t="shared" ref="H43:H71" si="28">C43+D43+E43+F43*0.5</f>
        <v>2480</v>
      </c>
      <c r="I43" s="347">
        <f t="shared" si="4"/>
        <v>0.59990324141267537</v>
      </c>
      <c r="J43" s="340">
        <v>2048</v>
      </c>
      <c r="K43" s="340">
        <v>693</v>
      </c>
      <c r="L43" s="340">
        <v>5489</v>
      </c>
      <c r="M43" s="151">
        <f t="shared" si="5"/>
        <v>6182</v>
      </c>
      <c r="N43" s="348" t="s">
        <v>166</v>
      </c>
      <c r="O43" s="572"/>
      <c r="P43" s="287"/>
      <c r="Q43" s="162">
        <v>0</v>
      </c>
      <c r="R43" s="165">
        <v>0</v>
      </c>
      <c r="S43" s="165">
        <v>0</v>
      </c>
      <c r="T43" s="165">
        <v>0</v>
      </c>
      <c r="U43" s="165">
        <v>0</v>
      </c>
      <c r="V43" s="168">
        <f t="shared" si="20"/>
        <v>0</v>
      </c>
      <c r="W43" s="162"/>
      <c r="X43" s="167"/>
      <c r="Y43" s="169"/>
      <c r="Z43" s="177">
        <f t="shared" si="27"/>
        <v>6182</v>
      </c>
      <c r="AA43" s="153"/>
      <c r="AB43" s="153"/>
    </row>
    <row r="44" spans="1:28" s="129" customFormat="1" x14ac:dyDescent="0.3">
      <c r="A44" s="695"/>
      <c r="B44" s="349" t="s">
        <v>161</v>
      </c>
      <c r="C44" s="344">
        <v>0</v>
      </c>
      <c r="D44" s="340">
        <v>70</v>
      </c>
      <c r="E44" s="340">
        <v>439</v>
      </c>
      <c r="F44" s="345">
        <v>444</v>
      </c>
      <c r="G44" s="346">
        <f t="shared" si="23"/>
        <v>953</v>
      </c>
      <c r="H44" s="476">
        <f t="shared" si="28"/>
        <v>731</v>
      </c>
      <c r="I44" s="347">
        <f t="shared" si="4"/>
        <v>0.76705141657922349</v>
      </c>
      <c r="J44" s="340">
        <v>414</v>
      </c>
      <c r="K44" s="340">
        <v>94</v>
      </c>
      <c r="L44" s="340">
        <v>1273</v>
      </c>
      <c r="M44" s="151">
        <f t="shared" si="5"/>
        <v>1367</v>
      </c>
      <c r="N44" s="348" t="s">
        <v>60</v>
      </c>
      <c r="O44" s="572"/>
      <c r="P44" s="287"/>
      <c r="Q44" s="162">
        <v>0</v>
      </c>
      <c r="R44" s="165">
        <v>0</v>
      </c>
      <c r="S44" s="165">
        <v>0</v>
      </c>
      <c r="T44" s="165">
        <v>0</v>
      </c>
      <c r="U44" s="165">
        <v>0</v>
      </c>
      <c r="V44" s="168">
        <f t="shared" si="20"/>
        <v>0</v>
      </c>
      <c r="W44" s="162"/>
      <c r="X44" s="167"/>
      <c r="Y44" s="169"/>
      <c r="Z44" s="177">
        <f t="shared" si="27"/>
        <v>1367</v>
      </c>
      <c r="AA44" s="153"/>
      <c r="AB44" s="153"/>
    </row>
    <row r="45" spans="1:28" s="129" customFormat="1" x14ac:dyDescent="0.3">
      <c r="A45" s="695"/>
      <c r="B45" s="349" t="s">
        <v>162</v>
      </c>
      <c r="C45" s="344">
        <v>0</v>
      </c>
      <c r="D45" s="340">
        <v>0</v>
      </c>
      <c r="E45" s="340">
        <v>0</v>
      </c>
      <c r="F45" s="345">
        <v>0</v>
      </c>
      <c r="G45" s="346">
        <v>0</v>
      </c>
      <c r="H45" s="476">
        <f t="shared" si="28"/>
        <v>0</v>
      </c>
      <c r="I45" s="347">
        <f t="shared" si="4"/>
        <v>0</v>
      </c>
      <c r="J45" s="340">
        <v>421</v>
      </c>
      <c r="K45" s="340" t="s">
        <v>163</v>
      </c>
      <c r="L45" s="340">
        <v>421</v>
      </c>
      <c r="M45" s="151">
        <f t="shared" si="5"/>
        <v>421</v>
      </c>
      <c r="N45" s="348" t="s">
        <v>167</v>
      </c>
      <c r="O45" s="572"/>
      <c r="P45" s="287"/>
      <c r="Q45" s="162">
        <v>0</v>
      </c>
      <c r="R45" s="165">
        <v>0</v>
      </c>
      <c r="S45" s="165">
        <v>0</v>
      </c>
      <c r="T45" s="165">
        <v>0</v>
      </c>
      <c r="U45" s="165">
        <v>0</v>
      </c>
      <c r="V45" s="168">
        <f t="shared" si="20"/>
        <v>0</v>
      </c>
      <c r="W45" s="162"/>
      <c r="X45" s="167"/>
      <c r="Y45" s="169"/>
      <c r="Z45" s="177">
        <f t="shared" si="27"/>
        <v>421</v>
      </c>
      <c r="AA45" s="153"/>
      <c r="AB45" s="153"/>
    </row>
    <row r="46" spans="1:28" s="129" customFormat="1" ht="28.8" x14ac:dyDescent="0.3">
      <c r="A46" s="695"/>
      <c r="B46" s="349" t="s">
        <v>75</v>
      </c>
      <c r="C46" s="344">
        <v>0</v>
      </c>
      <c r="D46" s="340">
        <v>0</v>
      </c>
      <c r="E46" s="340">
        <v>26</v>
      </c>
      <c r="F46" s="345">
        <v>1289</v>
      </c>
      <c r="G46" s="346">
        <f>SUM(C46:F46)</f>
        <v>1315</v>
      </c>
      <c r="H46" s="476">
        <f t="shared" si="28"/>
        <v>670.5</v>
      </c>
      <c r="I46" s="347">
        <f t="shared" si="4"/>
        <v>0.50988593155893536</v>
      </c>
      <c r="J46" s="340">
        <v>1202</v>
      </c>
      <c r="K46" s="340">
        <v>497</v>
      </c>
      <c r="L46" s="340">
        <v>2019</v>
      </c>
      <c r="M46" s="151">
        <f t="shared" si="5"/>
        <v>2517</v>
      </c>
      <c r="N46" s="348" t="s">
        <v>144</v>
      </c>
      <c r="O46" s="572"/>
      <c r="P46" s="287" t="s">
        <v>200</v>
      </c>
      <c r="Q46" s="139">
        <v>0</v>
      </c>
      <c r="R46" s="140">
        <v>0</v>
      </c>
      <c r="S46" s="140">
        <v>9</v>
      </c>
      <c r="T46" s="140">
        <v>113</v>
      </c>
      <c r="U46" s="140">
        <v>233</v>
      </c>
      <c r="V46" s="168">
        <f t="shared" si="20"/>
        <v>355</v>
      </c>
      <c r="W46" s="139">
        <v>45</v>
      </c>
      <c r="X46" s="141">
        <v>310</v>
      </c>
      <c r="Y46" s="82" t="s">
        <v>136</v>
      </c>
      <c r="Z46" s="177">
        <f t="shared" si="27"/>
        <v>2872</v>
      </c>
      <c r="AA46" s="153"/>
      <c r="AB46" s="153"/>
    </row>
    <row r="47" spans="1:28" s="22" customFormat="1" x14ac:dyDescent="0.3">
      <c r="A47" s="695"/>
      <c r="B47" s="349" t="s">
        <v>76</v>
      </c>
      <c r="C47" s="344">
        <v>0</v>
      </c>
      <c r="D47" s="340">
        <v>181</v>
      </c>
      <c r="E47" s="340">
        <v>1699</v>
      </c>
      <c r="F47" s="345">
        <v>3131</v>
      </c>
      <c r="G47" s="346">
        <f>SUM(C47:F47)</f>
        <v>5011</v>
      </c>
      <c r="H47" s="476">
        <f t="shared" si="28"/>
        <v>3445.5</v>
      </c>
      <c r="I47" s="347">
        <f t="shared" si="4"/>
        <v>0.68758730792257039</v>
      </c>
      <c r="J47" s="340">
        <v>417</v>
      </c>
      <c r="K47" s="340">
        <v>1651</v>
      </c>
      <c r="L47" s="340">
        <v>3777</v>
      </c>
      <c r="M47" s="151">
        <f t="shared" si="5"/>
        <v>5428</v>
      </c>
      <c r="N47" s="348" t="s">
        <v>145</v>
      </c>
      <c r="O47" s="572"/>
      <c r="P47" s="287" t="s">
        <v>200</v>
      </c>
      <c r="Q47" s="69">
        <v>0</v>
      </c>
      <c r="R47" s="77">
        <v>12</v>
      </c>
      <c r="S47" s="77">
        <v>392</v>
      </c>
      <c r="T47" s="77">
        <v>526</v>
      </c>
      <c r="U47" s="77">
        <v>75</v>
      </c>
      <c r="V47" s="168">
        <f t="shared" si="20"/>
        <v>1005</v>
      </c>
      <c r="W47" s="69">
        <v>178</v>
      </c>
      <c r="X47" s="80">
        <v>827</v>
      </c>
      <c r="Y47" s="25" t="s">
        <v>137</v>
      </c>
      <c r="Z47" s="177">
        <f t="shared" si="27"/>
        <v>6433</v>
      </c>
      <c r="AA47" s="153"/>
      <c r="AB47" s="153"/>
    </row>
    <row r="48" spans="1:28" s="22" customFormat="1" x14ac:dyDescent="0.3">
      <c r="A48" s="695"/>
      <c r="B48" s="349" t="s">
        <v>77</v>
      </c>
      <c r="C48" s="344">
        <v>0</v>
      </c>
      <c r="D48" s="340">
        <v>0</v>
      </c>
      <c r="E48" s="340">
        <v>0</v>
      </c>
      <c r="F48" s="345">
        <v>366</v>
      </c>
      <c r="G48" s="346">
        <f>SUM(C48:F48)</f>
        <v>366</v>
      </c>
      <c r="H48" s="476">
        <f t="shared" si="28"/>
        <v>183</v>
      </c>
      <c r="I48" s="347">
        <f t="shared" si="4"/>
        <v>0.5</v>
      </c>
      <c r="J48" s="340">
        <v>3</v>
      </c>
      <c r="K48" s="340" t="s">
        <v>132</v>
      </c>
      <c r="L48" s="340">
        <v>370</v>
      </c>
      <c r="M48" s="151">
        <f t="shared" si="5"/>
        <v>369</v>
      </c>
      <c r="N48" s="348" t="s">
        <v>146</v>
      </c>
      <c r="O48" s="572"/>
      <c r="P48" s="287"/>
      <c r="Q48" s="69">
        <v>0</v>
      </c>
      <c r="R48" s="77">
        <v>0</v>
      </c>
      <c r="S48" s="77">
        <v>0</v>
      </c>
      <c r="T48" s="77">
        <v>0</v>
      </c>
      <c r="U48" s="77">
        <v>0</v>
      </c>
      <c r="V48" s="168">
        <f t="shared" si="20"/>
        <v>0</v>
      </c>
      <c r="W48" s="69"/>
      <c r="X48" s="80"/>
      <c r="Y48" s="25"/>
      <c r="Z48" s="177">
        <f t="shared" si="27"/>
        <v>369</v>
      </c>
      <c r="AA48" s="153"/>
      <c r="AB48" s="153"/>
    </row>
    <row r="49" spans="1:28" s="22" customFormat="1" x14ac:dyDescent="0.3">
      <c r="A49" s="695"/>
      <c r="B49" s="349" t="s">
        <v>78</v>
      </c>
      <c r="C49" s="344">
        <v>0</v>
      </c>
      <c r="D49" s="340">
        <v>0</v>
      </c>
      <c r="E49" s="340">
        <v>0</v>
      </c>
      <c r="F49" s="345">
        <v>21</v>
      </c>
      <c r="G49" s="346">
        <f>SUM(C49:F49)</f>
        <v>21</v>
      </c>
      <c r="H49" s="476">
        <f t="shared" si="28"/>
        <v>10.5</v>
      </c>
      <c r="I49" s="347">
        <f t="shared" si="4"/>
        <v>0.5</v>
      </c>
      <c r="J49" s="340">
        <v>191</v>
      </c>
      <c r="K49" s="340" t="s">
        <v>132</v>
      </c>
      <c r="L49" s="340">
        <v>212</v>
      </c>
      <c r="M49" s="151">
        <f t="shared" si="5"/>
        <v>212</v>
      </c>
      <c r="N49" s="348" t="s">
        <v>147</v>
      </c>
      <c r="O49" s="572"/>
      <c r="P49" s="287"/>
      <c r="Q49" s="69">
        <v>0</v>
      </c>
      <c r="R49" s="77">
        <v>0</v>
      </c>
      <c r="S49" s="77">
        <v>0</v>
      </c>
      <c r="T49" s="77">
        <v>0</v>
      </c>
      <c r="U49" s="77">
        <v>0</v>
      </c>
      <c r="V49" s="168">
        <f t="shared" si="20"/>
        <v>0</v>
      </c>
      <c r="W49" s="69"/>
      <c r="X49" s="80"/>
      <c r="Y49" s="25"/>
      <c r="Z49" s="177">
        <f t="shared" si="27"/>
        <v>212</v>
      </c>
      <c r="AA49" s="153"/>
      <c r="AB49" s="153"/>
    </row>
    <row r="50" spans="1:28" s="22" customFormat="1" x14ac:dyDescent="0.3">
      <c r="A50" s="695"/>
      <c r="B50" s="363" t="s">
        <v>79</v>
      </c>
      <c r="C50" s="344">
        <v>0</v>
      </c>
      <c r="D50" s="340">
        <v>0</v>
      </c>
      <c r="E50" s="340">
        <v>0</v>
      </c>
      <c r="F50" s="345">
        <v>0</v>
      </c>
      <c r="G50" s="346">
        <v>0</v>
      </c>
      <c r="H50" s="476">
        <f t="shared" si="28"/>
        <v>0</v>
      </c>
      <c r="I50" s="347">
        <f t="shared" si="4"/>
        <v>0</v>
      </c>
      <c r="J50" s="340">
        <v>59</v>
      </c>
      <c r="K50" s="340">
        <v>2</v>
      </c>
      <c r="L50" s="340">
        <v>57</v>
      </c>
      <c r="M50" s="151">
        <f t="shared" si="5"/>
        <v>59</v>
      </c>
      <c r="N50" s="348" t="s">
        <v>148</v>
      </c>
      <c r="O50" s="572"/>
      <c r="P50" s="287"/>
      <c r="Q50" s="69">
        <v>0</v>
      </c>
      <c r="R50" s="77">
        <v>0</v>
      </c>
      <c r="S50" s="77">
        <v>0</v>
      </c>
      <c r="T50" s="77">
        <v>0</v>
      </c>
      <c r="U50" s="77">
        <v>0</v>
      </c>
      <c r="V50" s="168">
        <f t="shared" si="20"/>
        <v>0</v>
      </c>
      <c r="W50" s="69"/>
      <c r="X50" s="80"/>
      <c r="Y50" s="51"/>
      <c r="Z50" s="177">
        <f t="shared" si="27"/>
        <v>59</v>
      </c>
      <c r="AA50" s="153"/>
      <c r="AB50" s="153"/>
    </row>
    <row r="51" spans="1:28" s="22" customFormat="1" x14ac:dyDescent="0.3">
      <c r="A51" s="695"/>
      <c r="B51" s="363" t="s">
        <v>80</v>
      </c>
      <c r="C51" s="344">
        <v>0</v>
      </c>
      <c r="D51" s="340">
        <v>0</v>
      </c>
      <c r="E51" s="340">
        <v>0</v>
      </c>
      <c r="F51" s="345">
        <v>37</v>
      </c>
      <c r="G51" s="346">
        <f t="shared" ref="G51:G72" si="29">SUM(C51:F51)</f>
        <v>37</v>
      </c>
      <c r="H51" s="476">
        <f t="shared" si="28"/>
        <v>18.5</v>
      </c>
      <c r="I51" s="347">
        <f t="shared" si="4"/>
        <v>0.5</v>
      </c>
      <c r="J51" s="340">
        <v>27</v>
      </c>
      <c r="K51" s="340" t="s">
        <v>132</v>
      </c>
      <c r="L51" s="340">
        <v>64</v>
      </c>
      <c r="M51" s="151">
        <f t="shared" si="5"/>
        <v>64</v>
      </c>
      <c r="N51" s="348" t="s">
        <v>149</v>
      </c>
      <c r="O51" s="572"/>
      <c r="P51" s="287"/>
      <c r="Q51" s="69">
        <v>0</v>
      </c>
      <c r="R51" s="77">
        <v>0</v>
      </c>
      <c r="S51" s="77">
        <v>0</v>
      </c>
      <c r="T51" s="77">
        <v>0</v>
      </c>
      <c r="U51" s="77">
        <v>0</v>
      </c>
      <c r="V51" s="168">
        <f t="shared" si="20"/>
        <v>0</v>
      </c>
      <c r="W51" s="69"/>
      <c r="X51" s="80"/>
      <c r="Y51" s="25"/>
      <c r="Z51" s="177">
        <f t="shared" si="27"/>
        <v>64</v>
      </c>
      <c r="AA51" s="153"/>
      <c r="AB51" s="153"/>
    </row>
    <row r="52" spans="1:28" s="22" customFormat="1" x14ac:dyDescent="0.3">
      <c r="A52" s="695"/>
      <c r="B52" s="349" t="s">
        <v>81</v>
      </c>
      <c r="C52" s="344">
        <v>59</v>
      </c>
      <c r="D52" s="340">
        <v>29</v>
      </c>
      <c r="E52" s="340">
        <v>73</v>
      </c>
      <c r="F52" s="345">
        <v>440</v>
      </c>
      <c r="G52" s="346">
        <f t="shared" si="29"/>
        <v>601</v>
      </c>
      <c r="H52" s="476">
        <f t="shared" si="28"/>
        <v>381</v>
      </c>
      <c r="I52" s="347">
        <f t="shared" si="4"/>
        <v>0.63394342762063227</v>
      </c>
      <c r="J52" s="340">
        <v>24</v>
      </c>
      <c r="K52" s="340">
        <v>5</v>
      </c>
      <c r="L52" s="340">
        <v>620</v>
      </c>
      <c r="M52" s="151">
        <f t="shared" si="5"/>
        <v>625</v>
      </c>
      <c r="N52" s="348" t="s">
        <v>149</v>
      </c>
      <c r="O52" s="572"/>
      <c r="P52" s="287"/>
      <c r="Q52" s="69">
        <v>0</v>
      </c>
      <c r="R52" s="77">
        <v>0</v>
      </c>
      <c r="S52" s="77">
        <v>0</v>
      </c>
      <c r="T52" s="77">
        <v>0</v>
      </c>
      <c r="U52" s="77">
        <v>0</v>
      </c>
      <c r="V52" s="168">
        <f t="shared" si="20"/>
        <v>0</v>
      </c>
      <c r="W52" s="69"/>
      <c r="X52" s="80"/>
      <c r="Y52" s="25"/>
      <c r="Z52" s="177">
        <f t="shared" si="27"/>
        <v>625</v>
      </c>
      <c r="AA52" s="153"/>
      <c r="AB52" s="153"/>
    </row>
    <row r="53" spans="1:28" s="22" customFormat="1" x14ac:dyDescent="0.3">
      <c r="A53" s="695"/>
      <c r="B53" s="363" t="s">
        <v>82</v>
      </c>
      <c r="C53" s="344">
        <v>0</v>
      </c>
      <c r="D53" s="340">
        <v>0</v>
      </c>
      <c r="E53" s="340">
        <v>0</v>
      </c>
      <c r="F53" s="345">
        <v>0</v>
      </c>
      <c r="G53" s="346">
        <f t="shared" si="29"/>
        <v>0</v>
      </c>
      <c r="H53" s="476">
        <f t="shared" si="28"/>
        <v>0</v>
      </c>
      <c r="I53" s="347">
        <f t="shared" si="4"/>
        <v>0</v>
      </c>
      <c r="J53" s="340">
        <v>235</v>
      </c>
      <c r="K53" s="340">
        <v>29</v>
      </c>
      <c r="L53" s="340">
        <v>206</v>
      </c>
      <c r="M53" s="151">
        <f t="shared" si="5"/>
        <v>235</v>
      </c>
      <c r="N53" s="389" t="s">
        <v>113</v>
      </c>
      <c r="O53" s="572"/>
      <c r="P53" s="287"/>
      <c r="Q53" s="69">
        <v>0</v>
      </c>
      <c r="R53" s="77">
        <v>0</v>
      </c>
      <c r="S53" s="77">
        <v>0</v>
      </c>
      <c r="T53" s="77">
        <v>0</v>
      </c>
      <c r="U53" s="77">
        <v>0</v>
      </c>
      <c r="V53" s="168">
        <f t="shared" si="20"/>
        <v>0</v>
      </c>
      <c r="W53" s="69"/>
      <c r="X53" s="80"/>
      <c r="Y53" s="25"/>
      <c r="Z53" s="177">
        <f t="shared" si="27"/>
        <v>235</v>
      </c>
      <c r="AA53" s="153"/>
      <c r="AB53" s="153"/>
    </row>
    <row r="54" spans="1:28" s="22" customFormat="1" x14ac:dyDescent="0.3">
      <c r="A54" s="695"/>
      <c r="B54" s="363" t="s">
        <v>83</v>
      </c>
      <c r="C54" s="344">
        <v>0</v>
      </c>
      <c r="D54" s="340">
        <v>0</v>
      </c>
      <c r="E54" s="340">
        <v>50</v>
      </c>
      <c r="F54" s="345">
        <v>3747</v>
      </c>
      <c r="G54" s="346">
        <f t="shared" si="29"/>
        <v>3797</v>
      </c>
      <c r="H54" s="476">
        <f t="shared" si="28"/>
        <v>1923.5</v>
      </c>
      <c r="I54" s="347">
        <f t="shared" si="4"/>
        <v>0.50658414537792995</v>
      </c>
      <c r="J54" s="340">
        <v>4179</v>
      </c>
      <c r="K54" s="340">
        <v>224</v>
      </c>
      <c r="L54" s="340">
        <v>7752</v>
      </c>
      <c r="M54" s="151">
        <f t="shared" si="5"/>
        <v>7976</v>
      </c>
      <c r="N54" s="348" t="s">
        <v>150</v>
      </c>
      <c r="O54" s="572"/>
      <c r="P54" s="475" t="s">
        <v>200</v>
      </c>
      <c r="Q54" s="69">
        <v>0</v>
      </c>
      <c r="R54" s="77">
        <v>0</v>
      </c>
      <c r="S54" s="77">
        <v>0</v>
      </c>
      <c r="T54" s="77">
        <v>891</v>
      </c>
      <c r="U54" s="77">
        <v>1298</v>
      </c>
      <c r="V54" s="168">
        <f t="shared" si="20"/>
        <v>2189</v>
      </c>
      <c r="W54" s="69">
        <v>79</v>
      </c>
      <c r="X54" s="80">
        <v>2110</v>
      </c>
      <c r="Y54" s="25" t="s">
        <v>211</v>
      </c>
      <c r="Z54" s="177">
        <f t="shared" si="27"/>
        <v>10165</v>
      </c>
      <c r="AA54" s="153"/>
      <c r="AB54" s="153"/>
    </row>
    <row r="55" spans="1:28" s="22" customFormat="1" x14ac:dyDescent="0.3">
      <c r="A55" s="695"/>
      <c r="B55" s="363" t="s">
        <v>84</v>
      </c>
      <c r="C55" s="344">
        <v>0</v>
      </c>
      <c r="D55" s="340">
        <v>0</v>
      </c>
      <c r="E55" s="340">
        <v>1</v>
      </c>
      <c r="F55" s="345">
        <v>0</v>
      </c>
      <c r="G55" s="346">
        <f t="shared" si="29"/>
        <v>1</v>
      </c>
      <c r="H55" s="476">
        <f t="shared" si="28"/>
        <v>1</v>
      </c>
      <c r="I55" s="347">
        <f t="shared" si="4"/>
        <v>1</v>
      </c>
      <c r="J55" s="340">
        <v>0</v>
      </c>
      <c r="K55" s="340" t="s">
        <v>132</v>
      </c>
      <c r="L55" s="340">
        <v>1</v>
      </c>
      <c r="M55" s="151">
        <f t="shared" si="5"/>
        <v>1</v>
      </c>
      <c r="N55" s="348" t="s">
        <v>151</v>
      </c>
      <c r="O55" s="572"/>
      <c r="P55" s="287" t="s">
        <v>200</v>
      </c>
      <c r="Q55" s="69">
        <v>0</v>
      </c>
      <c r="R55" s="77">
        <v>0</v>
      </c>
      <c r="S55" s="77">
        <v>14</v>
      </c>
      <c r="T55" s="77">
        <v>0</v>
      </c>
      <c r="U55" s="77">
        <v>16</v>
      </c>
      <c r="V55" s="168">
        <f t="shared" si="20"/>
        <v>30</v>
      </c>
      <c r="W55" s="69">
        <v>30</v>
      </c>
      <c r="X55" s="80">
        <v>0</v>
      </c>
      <c r="Y55" s="25" t="s">
        <v>210</v>
      </c>
      <c r="Z55" s="177">
        <f t="shared" si="27"/>
        <v>31</v>
      </c>
      <c r="AA55" s="153"/>
      <c r="AB55" s="153"/>
    </row>
    <row r="56" spans="1:28" s="22" customFormat="1" x14ac:dyDescent="0.3">
      <c r="A56" s="695"/>
      <c r="B56" s="363" t="s">
        <v>85</v>
      </c>
      <c r="C56" s="364">
        <v>0</v>
      </c>
      <c r="D56" s="346">
        <v>0</v>
      </c>
      <c r="E56" s="346">
        <v>0</v>
      </c>
      <c r="F56" s="365">
        <v>15</v>
      </c>
      <c r="G56" s="346">
        <f t="shared" si="29"/>
        <v>15</v>
      </c>
      <c r="H56" s="476">
        <f t="shared" si="28"/>
        <v>7.5</v>
      </c>
      <c r="I56" s="347">
        <f t="shared" si="4"/>
        <v>0.5</v>
      </c>
      <c r="J56" s="346">
        <v>293</v>
      </c>
      <c r="K56" s="346">
        <v>35</v>
      </c>
      <c r="L56" s="346">
        <v>273</v>
      </c>
      <c r="M56" s="151">
        <f t="shared" si="5"/>
        <v>308</v>
      </c>
      <c r="N56" s="390" t="s">
        <v>147</v>
      </c>
      <c r="O56" s="572"/>
      <c r="P56" s="299"/>
      <c r="Q56" s="84">
        <v>0</v>
      </c>
      <c r="R56" s="102">
        <v>0</v>
      </c>
      <c r="S56" s="102">
        <v>0</v>
      </c>
      <c r="T56" s="102">
        <v>0</v>
      </c>
      <c r="U56" s="102">
        <v>0</v>
      </c>
      <c r="V56" s="168">
        <f t="shared" si="20"/>
        <v>0</v>
      </c>
      <c r="W56" s="84"/>
      <c r="X56" s="81"/>
      <c r="Y56" s="51"/>
      <c r="Z56" s="177">
        <f t="shared" si="27"/>
        <v>308</v>
      </c>
      <c r="AA56" s="153"/>
      <c r="AB56" s="153"/>
    </row>
    <row r="57" spans="1:28" s="22" customFormat="1" x14ac:dyDescent="0.3">
      <c r="A57" s="695"/>
      <c r="B57" s="363" t="s">
        <v>86</v>
      </c>
      <c r="C57" s="364">
        <v>0</v>
      </c>
      <c r="D57" s="346">
        <v>0</v>
      </c>
      <c r="E57" s="346">
        <v>0</v>
      </c>
      <c r="F57" s="365">
        <v>663</v>
      </c>
      <c r="G57" s="346">
        <f t="shared" si="29"/>
        <v>663</v>
      </c>
      <c r="H57" s="476">
        <f t="shared" si="28"/>
        <v>331.5</v>
      </c>
      <c r="I57" s="347">
        <f t="shared" si="4"/>
        <v>0.5</v>
      </c>
      <c r="J57" s="346">
        <v>1036</v>
      </c>
      <c r="K57" s="346">
        <v>12</v>
      </c>
      <c r="L57" s="346">
        <v>1687</v>
      </c>
      <c r="M57" s="151">
        <f t="shared" si="5"/>
        <v>1699</v>
      </c>
      <c r="N57" s="390" t="s">
        <v>149</v>
      </c>
      <c r="O57" s="572"/>
      <c r="P57" s="299"/>
      <c r="Q57" s="84">
        <v>0</v>
      </c>
      <c r="R57" s="102">
        <v>0</v>
      </c>
      <c r="S57" s="102">
        <v>0</v>
      </c>
      <c r="T57" s="102">
        <v>0</v>
      </c>
      <c r="U57" s="102">
        <v>0</v>
      </c>
      <c r="V57" s="168">
        <f t="shared" si="20"/>
        <v>0</v>
      </c>
      <c r="W57" s="84"/>
      <c r="X57" s="81"/>
      <c r="Y57" s="51"/>
      <c r="Z57" s="177">
        <f t="shared" si="27"/>
        <v>1699</v>
      </c>
      <c r="AA57" s="153"/>
      <c r="AB57" s="153"/>
    </row>
    <row r="58" spans="1:28" s="22" customFormat="1" x14ac:dyDescent="0.3">
      <c r="A58" s="696"/>
      <c r="B58" s="363" t="s">
        <v>87</v>
      </c>
      <c r="C58" s="364">
        <v>0</v>
      </c>
      <c r="D58" s="346">
        <v>0</v>
      </c>
      <c r="E58" s="346">
        <v>0</v>
      </c>
      <c r="F58" s="365">
        <v>35</v>
      </c>
      <c r="G58" s="354">
        <f t="shared" si="29"/>
        <v>35</v>
      </c>
      <c r="H58" s="477">
        <f t="shared" si="28"/>
        <v>17.5</v>
      </c>
      <c r="I58" s="355">
        <f t="shared" si="4"/>
        <v>0.5</v>
      </c>
      <c r="J58" s="346">
        <v>6</v>
      </c>
      <c r="K58" s="346" t="s">
        <v>132</v>
      </c>
      <c r="L58" s="346">
        <v>41</v>
      </c>
      <c r="M58" s="214">
        <f t="shared" si="5"/>
        <v>41</v>
      </c>
      <c r="N58" s="391" t="s">
        <v>152</v>
      </c>
      <c r="O58" s="572"/>
      <c r="P58" s="299"/>
      <c r="Q58" s="84">
        <v>0</v>
      </c>
      <c r="R58" s="102">
        <v>0</v>
      </c>
      <c r="S58" s="102">
        <v>0</v>
      </c>
      <c r="T58" s="102">
        <v>0</v>
      </c>
      <c r="U58" s="102">
        <v>0</v>
      </c>
      <c r="V58" s="168">
        <f t="shared" si="20"/>
        <v>0</v>
      </c>
      <c r="W58" s="84"/>
      <c r="X58" s="81"/>
      <c r="Y58" s="51"/>
      <c r="Z58" s="110">
        <f t="shared" si="27"/>
        <v>41</v>
      </c>
      <c r="AA58" s="153"/>
      <c r="AB58" s="153"/>
    </row>
    <row r="59" spans="1:28" s="5" customFormat="1" x14ac:dyDescent="0.3">
      <c r="A59" s="392" t="s">
        <v>14</v>
      </c>
      <c r="B59" s="372" t="s">
        <v>204</v>
      </c>
      <c r="C59" s="373">
        <f>SUM(C42:C58)</f>
        <v>59</v>
      </c>
      <c r="D59" s="374">
        <f>SUM(D42:D58)</f>
        <v>723</v>
      </c>
      <c r="E59" s="374">
        <f>SUM(E42:E58)</f>
        <v>2671</v>
      </c>
      <c r="F59" s="375">
        <f>SUM(F42:F58)</f>
        <v>13515</v>
      </c>
      <c r="G59" s="333">
        <f t="shared" si="29"/>
        <v>16968</v>
      </c>
      <c r="H59" s="374">
        <f t="shared" si="28"/>
        <v>10210.5</v>
      </c>
      <c r="I59" s="334">
        <f t="shared" si="4"/>
        <v>0.6017503536067893</v>
      </c>
      <c r="J59" s="374">
        <f>SUM(J42:J58)</f>
        <v>10555</v>
      </c>
      <c r="K59" s="374">
        <f>SUM(K42:K58)</f>
        <v>3242</v>
      </c>
      <c r="L59" s="374">
        <f>SUM(L42:L58)</f>
        <v>24281</v>
      </c>
      <c r="M59" s="217">
        <f t="shared" si="5"/>
        <v>27523</v>
      </c>
      <c r="N59" s="377"/>
      <c r="O59" s="572"/>
      <c r="P59" s="303"/>
      <c r="Q59" s="87">
        <f>SUM(Q42:Q58)</f>
        <v>0</v>
      </c>
      <c r="R59" s="101">
        <f>SUM(R42:R58)</f>
        <v>12</v>
      </c>
      <c r="S59" s="101">
        <f>SUM(S42:S58)</f>
        <v>415</v>
      </c>
      <c r="T59" s="101">
        <f>SUM(T42:T58)</f>
        <v>1530</v>
      </c>
      <c r="U59" s="101">
        <f>SUM(U42:U58)</f>
        <v>1622</v>
      </c>
      <c r="V59" s="75">
        <f>SUM(Q59:U59)</f>
        <v>3579</v>
      </c>
      <c r="W59" s="87">
        <f>SUM(W42:W58)</f>
        <v>332</v>
      </c>
      <c r="X59" s="105">
        <f>SUM(X42:X58)</f>
        <v>3247</v>
      </c>
      <c r="Y59" s="19">
        <f>SUM(Y42:Y58)</f>
        <v>0</v>
      </c>
      <c r="Z59" s="114">
        <f t="shared" si="27"/>
        <v>31102</v>
      </c>
      <c r="AA59" s="153"/>
      <c r="AB59" s="35"/>
    </row>
    <row r="60" spans="1:28" x14ac:dyDescent="0.3">
      <c r="A60" s="676" t="s">
        <v>9</v>
      </c>
      <c r="B60" s="349" t="s">
        <v>6</v>
      </c>
      <c r="C60" s="344">
        <v>44</v>
      </c>
      <c r="D60" s="340">
        <v>805</v>
      </c>
      <c r="E60" s="340">
        <v>2236</v>
      </c>
      <c r="F60" s="345">
        <v>3023</v>
      </c>
      <c r="G60" s="340">
        <f t="shared" si="29"/>
        <v>6108</v>
      </c>
      <c r="H60" s="478">
        <f t="shared" si="28"/>
        <v>4596.5</v>
      </c>
      <c r="I60" s="341">
        <f t="shared" si="4"/>
        <v>0.75253765553372631</v>
      </c>
      <c r="J60" s="340">
        <v>149</v>
      </c>
      <c r="K60" s="340">
        <v>138</v>
      </c>
      <c r="L60" s="340">
        <f t="shared" ref="L60:L71" si="30">C60+D60+E60+F60+J60-K60</f>
        <v>6119</v>
      </c>
      <c r="M60" s="216">
        <f t="shared" si="5"/>
        <v>6257</v>
      </c>
      <c r="N60" s="348" t="s">
        <v>109</v>
      </c>
      <c r="O60" s="572"/>
      <c r="P60" s="287"/>
      <c r="Q60" s="69">
        <v>0</v>
      </c>
      <c r="R60" s="77">
        <v>0</v>
      </c>
      <c r="S60" s="77">
        <v>0</v>
      </c>
      <c r="T60" s="77">
        <v>0</v>
      </c>
      <c r="U60" s="77">
        <v>0</v>
      </c>
      <c r="V60" s="80">
        <f t="shared" si="20"/>
        <v>0</v>
      </c>
      <c r="W60" s="69">
        <v>0</v>
      </c>
      <c r="X60" s="80"/>
      <c r="Y60" s="25"/>
      <c r="Z60" s="113">
        <f t="shared" si="27"/>
        <v>6257</v>
      </c>
      <c r="AA60" s="153"/>
    </row>
    <row r="61" spans="1:28" s="3" customFormat="1" x14ac:dyDescent="0.3">
      <c r="A61" s="677"/>
      <c r="B61" s="343" t="s">
        <v>38</v>
      </c>
      <c r="C61" s="364">
        <v>117</v>
      </c>
      <c r="D61" s="346">
        <v>17</v>
      </c>
      <c r="E61" s="346">
        <v>128</v>
      </c>
      <c r="F61" s="365">
        <v>169</v>
      </c>
      <c r="G61" s="346">
        <f t="shared" si="29"/>
        <v>431</v>
      </c>
      <c r="H61" s="476">
        <f t="shared" si="28"/>
        <v>346.5</v>
      </c>
      <c r="I61" s="347">
        <f t="shared" si="4"/>
        <v>0.80394431554524359</v>
      </c>
      <c r="J61" s="346">
        <v>36</v>
      </c>
      <c r="K61" s="346">
        <v>5</v>
      </c>
      <c r="L61" s="340">
        <f t="shared" si="30"/>
        <v>462</v>
      </c>
      <c r="M61" s="151">
        <f t="shared" si="5"/>
        <v>467</v>
      </c>
      <c r="N61" s="390" t="s">
        <v>109</v>
      </c>
      <c r="O61" s="572"/>
      <c r="P61" s="283"/>
      <c r="Q61" s="84">
        <v>0</v>
      </c>
      <c r="R61" s="102">
        <v>0</v>
      </c>
      <c r="S61" s="102">
        <v>0</v>
      </c>
      <c r="T61" s="102">
        <v>0</v>
      </c>
      <c r="U61" s="102">
        <v>0</v>
      </c>
      <c r="V61" s="81">
        <f t="shared" si="20"/>
        <v>0</v>
      </c>
      <c r="W61" s="84">
        <v>0</v>
      </c>
      <c r="X61" s="81"/>
      <c r="Y61" s="51"/>
      <c r="Z61" s="177">
        <f t="shared" si="27"/>
        <v>467</v>
      </c>
      <c r="AA61" s="153"/>
      <c r="AB61" s="153"/>
    </row>
    <row r="62" spans="1:28" x14ac:dyDescent="0.3">
      <c r="A62" s="677"/>
      <c r="B62" s="386" t="s">
        <v>19</v>
      </c>
      <c r="C62" s="364">
        <v>0</v>
      </c>
      <c r="D62" s="346">
        <v>40</v>
      </c>
      <c r="E62" s="346">
        <f>254+24</f>
        <v>278</v>
      </c>
      <c r="F62" s="365">
        <f>1025+310</f>
        <v>1335</v>
      </c>
      <c r="G62" s="346">
        <f t="shared" si="29"/>
        <v>1653</v>
      </c>
      <c r="H62" s="476">
        <f t="shared" si="28"/>
        <v>985.5</v>
      </c>
      <c r="I62" s="347">
        <f t="shared" si="4"/>
        <v>0.59618874773139741</v>
      </c>
      <c r="J62" s="346">
        <f>31+1</f>
        <v>32</v>
      </c>
      <c r="K62" s="346">
        <v>148</v>
      </c>
      <c r="L62" s="340">
        <f t="shared" si="30"/>
        <v>1537</v>
      </c>
      <c r="M62" s="151">
        <f t="shared" si="5"/>
        <v>1685</v>
      </c>
      <c r="N62" s="390" t="s">
        <v>109</v>
      </c>
      <c r="O62" s="572"/>
      <c r="P62" s="299" t="s">
        <v>200</v>
      </c>
      <c r="Q62" s="84">
        <v>0</v>
      </c>
      <c r="R62" s="102">
        <v>0</v>
      </c>
      <c r="S62" s="102">
        <v>7</v>
      </c>
      <c r="T62" s="102">
        <v>67</v>
      </c>
      <c r="U62" s="102">
        <v>0</v>
      </c>
      <c r="V62" s="81">
        <f t="shared" si="20"/>
        <v>74</v>
      </c>
      <c r="W62" s="84">
        <v>8</v>
      </c>
      <c r="X62" s="81">
        <f>V62-W62</f>
        <v>66</v>
      </c>
      <c r="Y62" s="51" t="s">
        <v>138</v>
      </c>
      <c r="Z62" s="177">
        <f t="shared" si="27"/>
        <v>1759</v>
      </c>
      <c r="AA62" s="153"/>
    </row>
    <row r="63" spans="1:28" x14ac:dyDescent="0.3">
      <c r="A63" s="677"/>
      <c r="B63" s="393" t="s">
        <v>20</v>
      </c>
      <c r="C63" s="394">
        <v>0</v>
      </c>
      <c r="D63" s="395">
        <f>145+680</f>
        <v>825</v>
      </c>
      <c r="E63" s="395">
        <f>603+1725</f>
        <v>2328</v>
      </c>
      <c r="F63" s="396">
        <f>322+1919</f>
        <v>2241</v>
      </c>
      <c r="G63" s="346">
        <f t="shared" si="29"/>
        <v>5394</v>
      </c>
      <c r="H63" s="476">
        <f t="shared" si="28"/>
        <v>4273.5</v>
      </c>
      <c r="I63" s="347">
        <f t="shared" si="4"/>
        <v>0.7922691879866518</v>
      </c>
      <c r="J63" s="395">
        <f>19+92</f>
        <v>111</v>
      </c>
      <c r="K63" s="395">
        <v>1286</v>
      </c>
      <c r="L63" s="340">
        <f t="shared" si="30"/>
        <v>4219</v>
      </c>
      <c r="M63" s="151">
        <f t="shared" si="5"/>
        <v>5505</v>
      </c>
      <c r="N63" s="397" t="s">
        <v>110</v>
      </c>
      <c r="O63" s="572"/>
      <c r="P63" s="299" t="s">
        <v>200</v>
      </c>
      <c r="Q63" s="84">
        <v>4</v>
      </c>
      <c r="R63" s="102">
        <v>431</v>
      </c>
      <c r="S63" s="102">
        <v>1389</v>
      </c>
      <c r="T63" s="102">
        <v>2926</v>
      </c>
      <c r="U63" s="102">
        <v>18</v>
      </c>
      <c r="V63" s="81">
        <f t="shared" si="20"/>
        <v>4768</v>
      </c>
      <c r="W63" s="84">
        <v>2092</v>
      </c>
      <c r="X63" s="81">
        <f>V63-W63</f>
        <v>2676</v>
      </c>
      <c r="Y63" s="51" t="s">
        <v>138</v>
      </c>
      <c r="Z63" s="177">
        <f t="shared" si="27"/>
        <v>10273</v>
      </c>
      <c r="AA63" s="153"/>
    </row>
    <row r="64" spans="1:28" x14ac:dyDescent="0.3">
      <c r="A64" s="677"/>
      <c r="B64" s="386" t="s">
        <v>27</v>
      </c>
      <c r="C64" s="364">
        <v>0</v>
      </c>
      <c r="D64" s="346">
        <f>7+72</f>
        <v>79</v>
      </c>
      <c r="E64" s="346">
        <f>613+1068</f>
        <v>1681</v>
      </c>
      <c r="F64" s="365">
        <f>348+1025</f>
        <v>1373</v>
      </c>
      <c r="G64" s="346">
        <f t="shared" si="29"/>
        <v>3133</v>
      </c>
      <c r="H64" s="476">
        <f t="shared" si="28"/>
        <v>2446.5</v>
      </c>
      <c r="I64" s="347">
        <f t="shared" si="4"/>
        <v>0.78088094478135972</v>
      </c>
      <c r="J64" s="346">
        <f>1+135</f>
        <v>136</v>
      </c>
      <c r="K64" s="346">
        <v>706</v>
      </c>
      <c r="L64" s="340">
        <f t="shared" si="30"/>
        <v>2563</v>
      </c>
      <c r="M64" s="151">
        <f t="shared" si="5"/>
        <v>3269</v>
      </c>
      <c r="N64" s="390" t="s">
        <v>111</v>
      </c>
      <c r="O64" s="572"/>
      <c r="P64" s="299" t="s">
        <v>200</v>
      </c>
      <c r="Q64" s="106">
        <v>0</v>
      </c>
      <c r="R64" s="107">
        <v>38</v>
      </c>
      <c r="S64" s="107">
        <v>125</v>
      </c>
      <c r="T64" s="107">
        <v>352</v>
      </c>
      <c r="U64" s="107">
        <v>6</v>
      </c>
      <c r="V64" s="81">
        <f t="shared" si="20"/>
        <v>521</v>
      </c>
      <c r="W64" s="84">
        <v>205</v>
      </c>
      <c r="X64" s="81">
        <f>V64-W64</f>
        <v>316</v>
      </c>
      <c r="Y64" s="51" t="s">
        <v>138</v>
      </c>
      <c r="Z64" s="177">
        <f t="shared" si="27"/>
        <v>3790</v>
      </c>
      <c r="AA64" s="153"/>
    </row>
    <row r="65" spans="1:28" x14ac:dyDescent="0.3">
      <c r="A65" s="677"/>
      <c r="B65" s="386" t="s">
        <v>28</v>
      </c>
      <c r="C65" s="364">
        <v>0</v>
      </c>
      <c r="D65" s="346">
        <v>0</v>
      </c>
      <c r="E65" s="346">
        <v>66</v>
      </c>
      <c r="F65" s="365">
        <v>674</v>
      </c>
      <c r="G65" s="346">
        <f t="shared" si="29"/>
        <v>740</v>
      </c>
      <c r="H65" s="476">
        <f t="shared" si="28"/>
        <v>403</v>
      </c>
      <c r="I65" s="347">
        <f t="shared" si="4"/>
        <v>0.54459459459459458</v>
      </c>
      <c r="J65" s="346">
        <v>44</v>
      </c>
      <c r="K65" s="346">
        <v>140</v>
      </c>
      <c r="L65" s="340">
        <f t="shared" si="30"/>
        <v>644</v>
      </c>
      <c r="M65" s="151">
        <f t="shared" si="5"/>
        <v>784</v>
      </c>
      <c r="N65" s="390" t="s">
        <v>111</v>
      </c>
      <c r="O65" s="572"/>
      <c r="P65" s="299"/>
      <c r="Q65" s="84">
        <v>0</v>
      </c>
      <c r="R65" s="102">
        <v>0</v>
      </c>
      <c r="S65" s="102">
        <v>0</v>
      </c>
      <c r="T65" s="102">
        <v>0</v>
      </c>
      <c r="U65" s="102">
        <v>0</v>
      </c>
      <c r="V65" s="81">
        <f t="shared" si="20"/>
        <v>0</v>
      </c>
      <c r="W65" s="84"/>
      <c r="X65" s="81"/>
      <c r="Z65" s="177">
        <f t="shared" si="27"/>
        <v>784</v>
      </c>
      <c r="AA65" s="153"/>
    </row>
    <row r="66" spans="1:28" x14ac:dyDescent="0.3">
      <c r="A66" s="677"/>
      <c r="B66" s="386" t="s">
        <v>21</v>
      </c>
      <c r="C66" s="364">
        <v>0</v>
      </c>
      <c r="D66" s="346">
        <v>0</v>
      </c>
      <c r="E66" s="346">
        <f>89+1617</f>
        <v>1706</v>
      </c>
      <c r="F66" s="365">
        <f>419+825</f>
        <v>1244</v>
      </c>
      <c r="G66" s="346">
        <f t="shared" si="29"/>
        <v>2950</v>
      </c>
      <c r="H66" s="476">
        <f t="shared" si="28"/>
        <v>2328</v>
      </c>
      <c r="I66" s="347">
        <f t="shared" si="4"/>
        <v>0.78915254237288135</v>
      </c>
      <c r="J66" s="346">
        <f>18+135</f>
        <v>153</v>
      </c>
      <c r="K66" s="346">
        <v>460</v>
      </c>
      <c r="L66" s="340">
        <f t="shared" si="30"/>
        <v>2643</v>
      </c>
      <c r="M66" s="151">
        <f t="shared" si="5"/>
        <v>3103</v>
      </c>
      <c r="N66" s="390" t="s">
        <v>111</v>
      </c>
      <c r="O66" s="572"/>
      <c r="P66" s="299"/>
      <c r="Q66" s="84">
        <v>0</v>
      </c>
      <c r="R66" s="102">
        <v>0</v>
      </c>
      <c r="S66" s="102">
        <v>0</v>
      </c>
      <c r="T66" s="102">
        <v>0</v>
      </c>
      <c r="U66" s="102">
        <v>0</v>
      </c>
      <c r="V66" s="81">
        <f t="shared" si="20"/>
        <v>0</v>
      </c>
      <c r="W66" s="84"/>
      <c r="X66" s="81"/>
      <c r="Y66" s="51"/>
      <c r="Z66" s="177">
        <f t="shared" si="27"/>
        <v>3103</v>
      </c>
      <c r="AA66" s="153"/>
    </row>
    <row r="67" spans="1:28" x14ac:dyDescent="0.3">
      <c r="A67" s="677"/>
      <c r="B67" s="386" t="s">
        <v>22</v>
      </c>
      <c r="C67" s="364">
        <v>0</v>
      </c>
      <c r="D67" s="346">
        <v>8</v>
      </c>
      <c r="E67" s="346">
        <v>0</v>
      </c>
      <c r="F67" s="365">
        <v>5</v>
      </c>
      <c r="G67" s="346">
        <f t="shared" si="29"/>
        <v>13</v>
      </c>
      <c r="H67" s="476">
        <f t="shared" si="28"/>
        <v>10.5</v>
      </c>
      <c r="I67" s="347">
        <f t="shared" si="4"/>
        <v>0.80769230769230771</v>
      </c>
      <c r="J67" s="346">
        <v>54</v>
      </c>
      <c r="K67" s="346">
        <v>7</v>
      </c>
      <c r="L67" s="340">
        <f t="shared" si="30"/>
        <v>60</v>
      </c>
      <c r="M67" s="151">
        <f t="shared" si="5"/>
        <v>67</v>
      </c>
      <c r="N67" s="391" t="s">
        <v>113</v>
      </c>
      <c r="O67" s="572"/>
      <c r="P67" s="283"/>
      <c r="Q67" s="84">
        <v>0</v>
      </c>
      <c r="R67" s="102">
        <v>0</v>
      </c>
      <c r="S67" s="102">
        <v>0</v>
      </c>
      <c r="T67" s="102">
        <v>0</v>
      </c>
      <c r="U67" s="102">
        <v>0</v>
      </c>
      <c r="V67" s="81">
        <f t="shared" si="20"/>
        <v>0</v>
      </c>
      <c r="W67" s="84"/>
      <c r="X67" s="81"/>
      <c r="Y67" s="51"/>
      <c r="Z67" s="177">
        <f t="shared" si="27"/>
        <v>67</v>
      </c>
      <c r="AA67" s="153"/>
    </row>
    <row r="68" spans="1:28" x14ac:dyDescent="0.3">
      <c r="A68" s="677"/>
      <c r="B68" s="386" t="s">
        <v>23</v>
      </c>
      <c r="C68" s="364">
        <v>144</v>
      </c>
      <c r="D68" s="346">
        <v>339</v>
      </c>
      <c r="E68" s="346">
        <v>1054</v>
      </c>
      <c r="F68" s="365">
        <v>1007</v>
      </c>
      <c r="G68" s="346">
        <f t="shared" si="29"/>
        <v>2544</v>
      </c>
      <c r="H68" s="476">
        <f t="shared" si="28"/>
        <v>2040.5</v>
      </c>
      <c r="I68" s="347">
        <f t="shared" si="4"/>
        <v>0.80208333333333337</v>
      </c>
      <c r="J68" s="346">
        <v>61</v>
      </c>
      <c r="K68" s="346">
        <v>86</v>
      </c>
      <c r="L68" s="340">
        <f t="shared" si="30"/>
        <v>2519</v>
      </c>
      <c r="M68" s="151">
        <f t="shared" si="5"/>
        <v>2605</v>
      </c>
      <c r="N68" s="390" t="s">
        <v>112</v>
      </c>
      <c r="O68" s="572"/>
      <c r="P68" s="283"/>
      <c r="Q68" s="84">
        <v>0</v>
      </c>
      <c r="R68" s="102">
        <v>0</v>
      </c>
      <c r="S68" s="102">
        <v>0</v>
      </c>
      <c r="T68" s="102">
        <v>0</v>
      </c>
      <c r="U68" s="102">
        <v>0</v>
      </c>
      <c r="V68" s="81">
        <f t="shared" si="20"/>
        <v>0</v>
      </c>
      <c r="W68" s="84"/>
      <c r="X68" s="81"/>
      <c r="Y68" s="51"/>
      <c r="Z68" s="177">
        <f t="shared" si="27"/>
        <v>2605</v>
      </c>
      <c r="AA68" s="153"/>
    </row>
    <row r="69" spans="1:28" x14ac:dyDescent="0.3">
      <c r="A69" s="677"/>
      <c r="B69" s="386" t="s">
        <v>24</v>
      </c>
      <c r="C69" s="364">
        <v>0</v>
      </c>
      <c r="D69" s="346">
        <v>0</v>
      </c>
      <c r="E69" s="346">
        <v>82</v>
      </c>
      <c r="F69" s="365">
        <v>169</v>
      </c>
      <c r="G69" s="346">
        <f t="shared" si="29"/>
        <v>251</v>
      </c>
      <c r="H69" s="476">
        <f t="shared" si="28"/>
        <v>166.5</v>
      </c>
      <c r="I69" s="347">
        <f t="shared" si="4"/>
        <v>0.6633466135458167</v>
      </c>
      <c r="J69" s="346">
        <v>140</v>
      </c>
      <c r="K69" s="346">
        <v>2</v>
      </c>
      <c r="L69" s="340">
        <f t="shared" si="30"/>
        <v>389</v>
      </c>
      <c r="M69" s="151">
        <f t="shared" si="5"/>
        <v>391</v>
      </c>
      <c r="N69" s="391" t="s">
        <v>113</v>
      </c>
      <c r="O69" s="572"/>
      <c r="P69" s="283"/>
      <c r="Q69" s="84">
        <v>0</v>
      </c>
      <c r="R69" s="102">
        <v>0</v>
      </c>
      <c r="S69" s="102">
        <v>0</v>
      </c>
      <c r="T69" s="102">
        <v>0</v>
      </c>
      <c r="U69" s="102">
        <v>0</v>
      </c>
      <c r="V69" s="81">
        <f t="shared" si="20"/>
        <v>0</v>
      </c>
      <c r="W69" s="84"/>
      <c r="X69" s="81"/>
      <c r="Y69" s="51"/>
      <c r="Z69" s="177">
        <f t="shared" si="27"/>
        <v>391</v>
      </c>
      <c r="AA69" s="153"/>
    </row>
    <row r="70" spans="1:28" x14ac:dyDescent="0.3">
      <c r="A70" s="677"/>
      <c r="B70" s="386" t="s">
        <v>25</v>
      </c>
      <c r="C70" s="364">
        <v>0</v>
      </c>
      <c r="D70" s="346">
        <v>0</v>
      </c>
      <c r="E70" s="346">
        <v>15</v>
      </c>
      <c r="F70" s="365">
        <v>102</v>
      </c>
      <c r="G70" s="346">
        <f t="shared" si="29"/>
        <v>117</v>
      </c>
      <c r="H70" s="476">
        <f t="shared" si="28"/>
        <v>66</v>
      </c>
      <c r="I70" s="347">
        <f t="shared" si="4"/>
        <v>0.5641025641025641</v>
      </c>
      <c r="J70" s="346">
        <v>65</v>
      </c>
      <c r="K70" s="346">
        <v>0</v>
      </c>
      <c r="L70" s="340">
        <f t="shared" si="30"/>
        <v>182</v>
      </c>
      <c r="M70" s="151">
        <f t="shared" si="5"/>
        <v>182</v>
      </c>
      <c r="N70" s="391" t="s">
        <v>113</v>
      </c>
      <c r="O70" s="572"/>
      <c r="P70" s="283"/>
      <c r="Q70" s="84">
        <v>0</v>
      </c>
      <c r="R70" s="102">
        <v>0</v>
      </c>
      <c r="S70" s="102">
        <v>0</v>
      </c>
      <c r="T70" s="102">
        <v>0</v>
      </c>
      <c r="U70" s="102">
        <v>0</v>
      </c>
      <c r="V70" s="81">
        <f t="shared" si="20"/>
        <v>0</v>
      </c>
      <c r="W70" s="84"/>
      <c r="X70" s="81"/>
      <c r="Y70" s="51"/>
      <c r="Z70" s="177">
        <f t="shared" si="27"/>
        <v>182</v>
      </c>
      <c r="AA70" s="153"/>
    </row>
    <row r="71" spans="1:28" x14ac:dyDescent="0.3">
      <c r="A71" s="678"/>
      <c r="B71" s="387" t="s">
        <v>26</v>
      </c>
      <c r="C71" s="398">
        <v>59</v>
      </c>
      <c r="D71" s="399">
        <v>130</v>
      </c>
      <c r="E71" s="399">
        <v>126</v>
      </c>
      <c r="F71" s="400">
        <v>286</v>
      </c>
      <c r="G71" s="354">
        <f t="shared" si="29"/>
        <v>601</v>
      </c>
      <c r="H71" s="477">
        <f t="shared" si="28"/>
        <v>458</v>
      </c>
      <c r="I71" s="401">
        <f t="shared" si="4"/>
        <v>0.76206322795341097</v>
      </c>
      <c r="J71" s="399">
        <v>52</v>
      </c>
      <c r="K71" s="399">
        <v>63</v>
      </c>
      <c r="L71" s="399">
        <f t="shared" si="30"/>
        <v>590</v>
      </c>
      <c r="M71" s="214">
        <f t="shared" si="5"/>
        <v>653</v>
      </c>
      <c r="N71" s="402" t="s">
        <v>114</v>
      </c>
      <c r="O71" s="572"/>
      <c r="P71" s="306"/>
      <c r="Q71" s="91">
        <v>0</v>
      </c>
      <c r="R71" s="88">
        <v>0</v>
      </c>
      <c r="S71" s="88">
        <v>0</v>
      </c>
      <c r="T71" s="88">
        <v>0</v>
      </c>
      <c r="U71" s="88">
        <v>0</v>
      </c>
      <c r="V71" s="90">
        <f t="shared" si="20"/>
        <v>0</v>
      </c>
      <c r="W71" s="91"/>
      <c r="X71" s="85"/>
      <c r="Y71" s="52"/>
      <c r="Z71" s="110">
        <f t="shared" si="27"/>
        <v>653</v>
      </c>
      <c r="AA71" s="153"/>
    </row>
    <row r="72" spans="1:28" s="5" customFormat="1" ht="15" thickBot="1" x14ac:dyDescent="0.35">
      <c r="A72" s="328" t="s">
        <v>14</v>
      </c>
      <c r="B72" s="329" t="s">
        <v>206</v>
      </c>
      <c r="C72" s="330">
        <f>SUM(C60:C71)</f>
        <v>364</v>
      </c>
      <c r="D72" s="331">
        <f>SUM(D60:D71)</f>
        <v>2243</v>
      </c>
      <c r="E72" s="331">
        <f t="shared" ref="E72:F72" si="31">SUM(E60:E71)</f>
        <v>9700</v>
      </c>
      <c r="F72" s="332">
        <f t="shared" si="31"/>
        <v>11628</v>
      </c>
      <c r="G72" s="403">
        <f t="shared" si="29"/>
        <v>23935</v>
      </c>
      <c r="H72" s="404">
        <f>C72+D72+E72+F72*0.5</f>
        <v>18121</v>
      </c>
      <c r="I72" s="341">
        <f t="shared" si="4"/>
        <v>0.75709212450386465</v>
      </c>
      <c r="J72" s="331">
        <f t="shared" ref="J72" si="32">SUM(J60:J71)</f>
        <v>1033</v>
      </c>
      <c r="K72" s="331">
        <f>SUM(K60:K71)</f>
        <v>3041</v>
      </c>
      <c r="L72" s="331">
        <f>SUM(L60:L71)</f>
        <v>21927</v>
      </c>
      <c r="M72" s="580">
        <f t="shared" si="5"/>
        <v>24968</v>
      </c>
      <c r="N72" s="335"/>
      <c r="O72" s="572"/>
      <c r="P72" s="300"/>
      <c r="Q72" s="99">
        <f>SUM(Q60:Q71)</f>
        <v>4</v>
      </c>
      <c r="R72" s="97">
        <f t="shared" ref="R72:Y72" si="33">SUM(R60:R71)</f>
        <v>469</v>
      </c>
      <c r="S72" s="97">
        <f t="shared" si="33"/>
        <v>1521</v>
      </c>
      <c r="T72" s="97">
        <f t="shared" si="33"/>
        <v>3345</v>
      </c>
      <c r="U72" s="97">
        <f>SUM(U60:U71)</f>
        <v>24</v>
      </c>
      <c r="V72" s="115">
        <f>SUM(Q72:U72)</f>
        <v>5363</v>
      </c>
      <c r="W72" s="99">
        <f>SUM(W60:W71)</f>
        <v>2305</v>
      </c>
      <c r="X72" s="94">
        <f>SUM(X60:X71)</f>
        <v>3058</v>
      </c>
      <c r="Y72" s="53">
        <f t="shared" si="33"/>
        <v>0</v>
      </c>
      <c r="Z72" s="273">
        <f t="shared" si="27"/>
        <v>30331</v>
      </c>
      <c r="AA72" s="153"/>
      <c r="AB72" s="35"/>
    </row>
    <row r="73" spans="1:28" s="35" customFormat="1" ht="15" thickBot="1" x14ac:dyDescent="0.35">
      <c r="A73" s="405" t="s">
        <v>7</v>
      </c>
      <c r="B73" s="406" t="s">
        <v>207</v>
      </c>
      <c r="C73" s="407">
        <f t="shared" ref="C73:L73" si="34">+C41+C59+C72</f>
        <v>423</v>
      </c>
      <c r="D73" s="408">
        <f t="shared" si="34"/>
        <v>3302</v>
      </c>
      <c r="E73" s="408">
        <f t="shared" si="34"/>
        <v>13988</v>
      </c>
      <c r="F73" s="409">
        <f t="shared" si="34"/>
        <v>32879</v>
      </c>
      <c r="G73" s="408">
        <f t="shared" si="34"/>
        <v>50592</v>
      </c>
      <c r="H73" s="408">
        <f t="shared" si="34"/>
        <v>34152.5</v>
      </c>
      <c r="I73" s="410">
        <f t="shared" si="4"/>
        <v>0.67505732131562302</v>
      </c>
      <c r="J73" s="408">
        <f t="shared" si="34"/>
        <v>14232</v>
      </c>
      <c r="K73" s="408">
        <f t="shared" si="34"/>
        <v>8619</v>
      </c>
      <c r="L73" s="408">
        <f t="shared" si="34"/>
        <v>56208</v>
      </c>
      <c r="M73" s="579">
        <f t="shared" si="5"/>
        <v>64824</v>
      </c>
      <c r="N73" s="411"/>
      <c r="O73" s="574"/>
      <c r="P73" s="315"/>
      <c r="Q73" s="316">
        <f t="shared" ref="Q73:W73" si="35">+Q41+Q59+Q72</f>
        <v>4</v>
      </c>
      <c r="R73" s="317">
        <f t="shared" si="35"/>
        <v>654</v>
      </c>
      <c r="S73" s="317">
        <f t="shared" si="35"/>
        <v>1938</v>
      </c>
      <c r="T73" s="317">
        <f t="shared" si="35"/>
        <v>4947</v>
      </c>
      <c r="U73" s="317">
        <f t="shared" si="35"/>
        <v>1863</v>
      </c>
      <c r="V73" s="318">
        <f>+V41+V59+V72</f>
        <v>9406</v>
      </c>
      <c r="W73" s="316">
        <f t="shared" si="35"/>
        <v>2822.6</v>
      </c>
      <c r="X73" s="319">
        <f>+X41+X59+X72</f>
        <v>6583.4</v>
      </c>
      <c r="Y73" s="320"/>
      <c r="Z73" s="109">
        <f t="shared" si="27"/>
        <v>74230</v>
      </c>
      <c r="AA73" s="153"/>
    </row>
    <row r="74" spans="1:28" s="35" customFormat="1" ht="16.8" thickBot="1" x14ac:dyDescent="0.35">
      <c r="A74" s="412"/>
      <c r="B74" s="413" t="s">
        <v>216</v>
      </c>
      <c r="C74" s="383">
        <f>C73*$AA$3</f>
        <v>116325</v>
      </c>
      <c r="D74" s="384">
        <f t="shared" ref="D74:H74" si="36">D73*$AA$3</f>
        <v>908050</v>
      </c>
      <c r="E74" s="384">
        <f t="shared" si="36"/>
        <v>3846700</v>
      </c>
      <c r="F74" s="384">
        <f t="shared" si="36"/>
        <v>9041725</v>
      </c>
      <c r="G74" s="384">
        <f t="shared" si="36"/>
        <v>13912800</v>
      </c>
      <c r="H74" s="384">
        <f>H73*$AA$3</f>
        <v>9391937.5</v>
      </c>
      <c r="I74" s="515"/>
      <c r="J74" s="515"/>
      <c r="K74" s="515"/>
      <c r="L74" s="515"/>
      <c r="M74" s="516"/>
      <c r="N74" s="516"/>
      <c r="O74" s="574"/>
      <c r="P74" s="321"/>
      <c r="Q74" s="322"/>
      <c r="R74" s="323"/>
      <c r="S74" s="323"/>
      <c r="T74" s="323"/>
      <c r="U74" s="323"/>
      <c r="V74" s="324"/>
      <c r="W74" s="322"/>
      <c r="X74" s="325"/>
      <c r="Y74" s="326"/>
      <c r="Z74" s="109"/>
      <c r="AA74" s="153"/>
    </row>
    <row r="75" spans="1:28" s="2" customFormat="1" ht="15" thickBot="1" x14ac:dyDescent="0.35">
      <c r="A75" s="414" t="s">
        <v>7</v>
      </c>
      <c r="B75" s="415" t="s">
        <v>208</v>
      </c>
      <c r="C75" s="416">
        <f t="shared" ref="C75:L75" si="37">C28+C73</f>
        <v>2876.7891420000001</v>
      </c>
      <c r="D75" s="417">
        <f t="shared" si="37"/>
        <v>4669.1656970000004</v>
      </c>
      <c r="E75" s="417">
        <f t="shared" si="37"/>
        <v>23543.411986999999</v>
      </c>
      <c r="F75" s="417">
        <f t="shared" si="37"/>
        <v>44489.588660000001</v>
      </c>
      <c r="G75" s="438">
        <f t="shared" si="37"/>
        <v>75578.955485999992</v>
      </c>
      <c r="H75" s="438">
        <f t="shared" si="37"/>
        <v>53334.161156000002</v>
      </c>
      <c r="I75" s="439">
        <f t="shared" ref="I75" si="38">IF(G75&lt;1,0,H75/G75)</f>
        <v>0.70567475844356509</v>
      </c>
      <c r="J75" s="438">
        <f t="shared" si="37"/>
        <v>28282.732049999999</v>
      </c>
      <c r="K75" s="438">
        <f t="shared" si="37"/>
        <v>15095.090694</v>
      </c>
      <c r="L75" s="438">
        <f t="shared" si="37"/>
        <v>88769.596841999999</v>
      </c>
      <c r="M75" s="582">
        <f t="shared" ref="M75" si="39">G75+J75</f>
        <v>103861.68753599998</v>
      </c>
      <c r="N75" s="440"/>
      <c r="O75" s="574"/>
      <c r="P75" s="307"/>
      <c r="Q75" s="86">
        <f t="shared" ref="Q75:U75" si="40">Q28+Q73</f>
        <v>588.45888500000001</v>
      </c>
      <c r="R75" s="108">
        <f t="shared" si="40"/>
        <v>797.29147399999999</v>
      </c>
      <c r="S75" s="108">
        <f t="shared" si="40"/>
        <v>12849.175846</v>
      </c>
      <c r="T75" s="108">
        <f t="shared" si="40"/>
        <v>10704.714630999999</v>
      </c>
      <c r="U75" s="108">
        <f t="shared" si="40"/>
        <v>7460.7981950000003</v>
      </c>
      <c r="V75" s="651">
        <f>V28+V73</f>
        <v>32400.439031000002</v>
      </c>
      <c r="W75" s="652">
        <f>W28+W73</f>
        <v>13124.239030000001</v>
      </c>
      <c r="X75" s="653">
        <f>X28+X73</f>
        <v>19276.199999999997</v>
      </c>
      <c r="Y75" s="67"/>
      <c r="Z75" s="270">
        <f>+G75+J75+V75</f>
        <v>136262.126567</v>
      </c>
      <c r="AA75" s="153"/>
    </row>
    <row r="76" spans="1:28" s="2" customFormat="1" ht="16.8" thickBot="1" x14ac:dyDescent="0.35">
      <c r="A76" s="418"/>
      <c r="B76" s="419" t="s">
        <v>217</v>
      </c>
      <c r="C76" s="584">
        <f>+C29+C74</f>
        <v>791117.01405</v>
      </c>
      <c r="D76" s="438">
        <f>+D29+D74</f>
        <v>1284020.5666749999</v>
      </c>
      <c r="E76" s="438">
        <f t="shared" ref="E76:H76" si="41">+E29+E74</f>
        <v>6474438.2964249998</v>
      </c>
      <c r="F76" s="438">
        <f t="shared" si="41"/>
        <v>12234636.8815</v>
      </c>
      <c r="G76" s="437">
        <f>+G29+G74</f>
        <v>20784212.758649997</v>
      </c>
      <c r="H76" s="437">
        <f>+H29+H74</f>
        <v>14666894.317899998</v>
      </c>
      <c r="I76" s="517"/>
      <c r="J76" s="517"/>
      <c r="K76" s="517"/>
      <c r="L76" s="517"/>
      <c r="M76" s="578"/>
      <c r="N76" s="518"/>
      <c r="O76" s="572"/>
      <c r="P76" s="233"/>
      <c r="Q76" s="232"/>
      <c r="R76" s="232"/>
      <c r="S76" s="232"/>
      <c r="T76" s="232"/>
      <c r="U76" s="232"/>
      <c r="V76" s="232"/>
      <c r="W76" s="232"/>
      <c r="X76" s="232"/>
      <c r="Y76" s="233"/>
      <c r="Z76" s="146"/>
      <c r="AA76" s="153"/>
    </row>
    <row r="77" spans="1:28" x14ac:dyDescent="0.3">
      <c r="A77" s="12"/>
      <c r="C77" s="3"/>
      <c r="D77" s="3"/>
      <c r="E77" s="3"/>
      <c r="F77" s="3"/>
      <c r="G77" s="3"/>
      <c r="V77" s="647"/>
      <c r="W77" s="178"/>
      <c r="AA77" s="153"/>
    </row>
    <row r="78" spans="1:28" x14ac:dyDescent="0.3">
      <c r="A78" s="12"/>
      <c r="C78" s="3"/>
      <c r="D78" s="3"/>
      <c r="E78" s="3"/>
      <c r="F78" s="3"/>
      <c r="G78" s="153"/>
      <c r="X78" s="632"/>
    </row>
    <row r="79" spans="1:28" s="129" customFormat="1" x14ac:dyDescent="0.3">
      <c r="A79" s="12"/>
      <c r="G79" s="153"/>
      <c r="H79" s="153"/>
      <c r="I79" s="153"/>
      <c r="J79" s="153"/>
      <c r="K79" s="153"/>
      <c r="L79" s="153"/>
      <c r="M79" s="153"/>
      <c r="N79" s="50"/>
      <c r="X79" s="632"/>
      <c r="AB79" s="153"/>
    </row>
    <row r="80" spans="1:28" s="153" customFormat="1" x14ac:dyDescent="0.3">
      <c r="A80" s="12"/>
      <c r="N80" s="50"/>
      <c r="X80" s="632"/>
    </row>
    <row r="81" spans="1:28" s="153" customFormat="1" x14ac:dyDescent="0.3">
      <c r="A81" s="12"/>
      <c r="X81" s="632"/>
    </row>
    <row r="84" spans="1:28" s="3" customFormat="1" x14ac:dyDescent="0.3">
      <c r="AB84" s="153"/>
    </row>
    <row r="93" spans="1:28" x14ac:dyDescent="0.3">
      <c r="G93" s="153"/>
    </row>
    <row r="94" spans="1:28" x14ac:dyDescent="0.3">
      <c r="G94" s="153"/>
    </row>
    <row r="95" spans="1:28" x14ac:dyDescent="0.3">
      <c r="G95" s="153"/>
    </row>
    <row r="96" spans="1:28" x14ac:dyDescent="0.3">
      <c r="G96" s="153"/>
    </row>
    <row r="97" spans="7:28" s="31" customFormat="1" x14ac:dyDescent="0.3">
      <c r="G97" s="153"/>
      <c r="H97" s="153"/>
      <c r="I97" s="153"/>
      <c r="J97" s="153"/>
      <c r="K97" s="153"/>
      <c r="L97" s="153"/>
      <c r="M97" s="153"/>
      <c r="N97" s="50"/>
      <c r="AB97" s="153"/>
    </row>
    <row r="98" spans="7:28" s="31" customFormat="1" x14ac:dyDescent="0.3">
      <c r="G98" s="153"/>
      <c r="H98" s="153"/>
      <c r="I98" s="153"/>
      <c r="J98" s="153"/>
      <c r="K98" s="153"/>
      <c r="L98" s="153"/>
      <c r="M98" s="153"/>
      <c r="N98" s="50"/>
      <c r="AB98" s="153"/>
    </row>
    <row r="99" spans="7:28" x14ac:dyDescent="0.3">
      <c r="G99" s="153"/>
    </row>
    <row r="100" spans="7:28" x14ac:dyDescent="0.3">
      <c r="G100" s="153"/>
    </row>
    <row r="109" spans="7:28" s="153" customFormat="1" x14ac:dyDescent="0.3">
      <c r="N109" s="50"/>
    </row>
    <row r="110" spans="7:28" s="153" customFormat="1" x14ac:dyDescent="0.3">
      <c r="N110" s="50"/>
    </row>
  </sheetData>
  <mergeCells count="23">
    <mergeCell ref="A4:N4"/>
    <mergeCell ref="P4:Y4"/>
    <mergeCell ref="A60:A71"/>
    <mergeCell ref="C5:F5"/>
    <mergeCell ref="Q5:U5"/>
    <mergeCell ref="P5:P7"/>
    <mergeCell ref="A5:A7"/>
    <mergeCell ref="B5:B7"/>
    <mergeCell ref="A30:A40"/>
    <mergeCell ref="A9:A12"/>
    <mergeCell ref="A14:A22"/>
    <mergeCell ref="A42:A58"/>
    <mergeCell ref="A24:A26"/>
    <mergeCell ref="K5:M5"/>
    <mergeCell ref="H5:H7"/>
    <mergeCell ref="I5:I7"/>
    <mergeCell ref="G5:G7"/>
    <mergeCell ref="Z5:Z7"/>
    <mergeCell ref="J5:J7"/>
    <mergeCell ref="K6:K7"/>
    <mergeCell ref="L6:L7"/>
    <mergeCell ref="M6:M7"/>
    <mergeCell ref="N5:N7"/>
  </mergeCells>
  <pageMargins left="0.7" right="0.7" top="0.75" bottom="0.75" header="0.3" footer="0.3"/>
  <pageSetup paperSize="3" scale="54" orientation="landscape" r:id="rId1"/>
  <rowBreaks count="1" manualBreakCount="1">
    <brk id="9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zoomScale="90" zoomScaleNormal="90" workbookViewId="0">
      <selection activeCell="B2" sqref="B2"/>
    </sheetView>
  </sheetViews>
  <sheetFormatPr defaultRowHeight="14.4" x14ac:dyDescent="0.3"/>
  <cols>
    <col min="1" max="1" width="10.5546875" customWidth="1"/>
    <col min="2" max="2" width="19.33203125" customWidth="1"/>
    <col min="3" max="3" width="9.6640625" hidden="1" customWidth="1"/>
    <col min="4" max="4" width="14.109375" customWidth="1"/>
    <col min="5" max="5" width="10.44140625" customWidth="1"/>
    <col min="6" max="6" width="12" customWidth="1"/>
    <col min="7" max="7" width="2.88671875" customWidth="1"/>
    <col min="8" max="8" width="10.109375" bestFit="1" customWidth="1"/>
    <col min="9" max="9" width="14" customWidth="1"/>
    <col min="10" max="10" width="14.77734375" bestFit="1" customWidth="1"/>
    <col min="11" max="11" width="13.6640625" style="153" customWidth="1"/>
    <col min="12" max="12" width="15.109375" customWidth="1"/>
  </cols>
  <sheetData>
    <row r="1" spans="1:12" ht="15" x14ac:dyDescent="0.25">
      <c r="A1" s="6" t="str">
        <f>'IBS Action Plan 20170131'!A1</f>
        <v>Spruce Beetle Action Plan - Omineca Region</v>
      </c>
    </row>
    <row r="2" spans="1:12" s="153" customFormat="1" x14ac:dyDescent="0.3">
      <c r="A2" s="296">
        <f>'IBS Action Plan 20170131'!A2</f>
        <v>42766</v>
      </c>
    </row>
    <row r="3" spans="1:12" s="153" customFormat="1" x14ac:dyDescent="0.3">
      <c r="A3" s="296"/>
    </row>
    <row r="4" spans="1:12" s="153" customFormat="1" ht="16.2" x14ac:dyDescent="0.3">
      <c r="A4" s="296" t="s">
        <v>237</v>
      </c>
    </row>
    <row r="5" spans="1:12" ht="15" thickBot="1" x14ac:dyDescent="0.35"/>
    <row r="6" spans="1:12" ht="16.8" thickBot="1" x14ac:dyDescent="0.35">
      <c r="A6" s="704" t="s">
        <v>44</v>
      </c>
      <c r="B6" s="705"/>
      <c r="C6" s="705"/>
      <c r="D6" s="705"/>
      <c r="E6" s="705"/>
      <c r="F6" s="705"/>
      <c r="G6" s="708"/>
      <c r="H6" s="706" t="s">
        <v>215</v>
      </c>
      <c r="I6" s="706"/>
      <c r="J6" s="706"/>
      <c r="K6" s="706"/>
      <c r="L6" s="707"/>
    </row>
    <row r="7" spans="1:12" s="153" customFormat="1" ht="15" thickBot="1" x14ac:dyDescent="0.35">
      <c r="A7" s="711" t="s">
        <v>50</v>
      </c>
      <c r="B7" s="714" t="s">
        <v>45</v>
      </c>
      <c r="C7" s="605"/>
      <c r="D7" s="714" t="s">
        <v>239</v>
      </c>
      <c r="E7" s="717" t="s">
        <v>218</v>
      </c>
      <c r="F7" s="718" t="s">
        <v>203</v>
      </c>
      <c r="G7" s="709"/>
      <c r="H7" s="722" t="s">
        <v>198</v>
      </c>
      <c r="I7" s="670" t="s">
        <v>225</v>
      </c>
      <c r="J7" s="714" t="s">
        <v>235</v>
      </c>
      <c r="K7" s="714" t="s">
        <v>234</v>
      </c>
      <c r="L7" s="720" t="s">
        <v>236</v>
      </c>
    </row>
    <row r="8" spans="1:12" s="153" customFormat="1" ht="15" thickBot="1" x14ac:dyDescent="0.35">
      <c r="A8" s="712"/>
      <c r="B8" s="715"/>
      <c r="C8" s="605"/>
      <c r="D8" s="715"/>
      <c r="E8" s="715"/>
      <c r="F8" s="683"/>
      <c r="G8" s="709"/>
      <c r="H8" s="723"/>
      <c r="I8" s="703"/>
      <c r="J8" s="703"/>
      <c r="K8" s="703"/>
      <c r="L8" s="721"/>
    </row>
    <row r="9" spans="1:12" ht="61.2" customHeight="1" thickBot="1" x14ac:dyDescent="0.35">
      <c r="A9" s="713"/>
      <c r="B9" s="716"/>
      <c r="C9" s="13" t="s">
        <v>53</v>
      </c>
      <c r="D9" s="716"/>
      <c r="E9" s="716"/>
      <c r="F9" s="719"/>
      <c r="G9" s="709"/>
      <c r="H9" s="723"/>
      <c r="I9" s="703"/>
      <c r="J9" s="703"/>
      <c r="K9" s="703"/>
      <c r="L9" s="721"/>
    </row>
    <row r="10" spans="1:12" x14ac:dyDescent="0.3">
      <c r="A10" s="451" t="s">
        <v>15</v>
      </c>
      <c r="B10" s="443" t="s">
        <v>47</v>
      </c>
      <c r="C10" s="443" t="s">
        <v>55</v>
      </c>
      <c r="D10" s="253">
        <v>900000</v>
      </c>
      <c r="E10" s="252">
        <f>D10/275</f>
        <v>3272.7272727272725</v>
      </c>
      <c r="F10" s="606">
        <f>E10*7</f>
        <v>22909.090909090908</v>
      </c>
      <c r="G10" s="709"/>
      <c r="H10" s="622">
        <f>'IBS Action Plan 20170131'!G13</f>
        <v>15996</v>
      </c>
      <c r="I10" s="623">
        <f>'IBS Action Plan 20170131'!H13</f>
        <v>11552</v>
      </c>
      <c r="J10" s="624">
        <f>I10*$J$29</f>
        <v>3176800</v>
      </c>
      <c r="K10" s="624">
        <f t="shared" ref="K10:K19" si="0">L10/$J$29</f>
        <v>1650.2857142857142</v>
      </c>
      <c r="L10" s="625">
        <f t="shared" ref="L10:L25" si="1">J10/7</f>
        <v>453828.57142857142</v>
      </c>
    </row>
    <row r="11" spans="1:12" x14ac:dyDescent="0.3">
      <c r="A11" s="444" t="s">
        <v>16</v>
      </c>
      <c r="B11" s="15" t="s">
        <v>47</v>
      </c>
      <c r="C11" s="15" t="s">
        <v>143</v>
      </c>
      <c r="D11" s="445">
        <v>1082904</v>
      </c>
      <c r="E11" s="446">
        <f t="shared" ref="E11:E13" si="2">D11/275</f>
        <v>3937.8327272727274</v>
      </c>
      <c r="F11" s="607">
        <f t="shared" ref="F11:F14" si="3">E11*7</f>
        <v>27564.829090909094</v>
      </c>
      <c r="G11" s="709"/>
      <c r="H11" s="618">
        <f>'IBS Action Plan 20170131'!G23</f>
        <v>4262</v>
      </c>
      <c r="I11" s="445">
        <f>'IBS Action Plan 20170131'!H23</f>
        <v>3187.5</v>
      </c>
      <c r="J11" s="446">
        <f t="shared" ref="J11:J19" si="4">I11*$J$29</f>
        <v>876562.5</v>
      </c>
      <c r="K11" s="446">
        <f t="shared" si="0"/>
        <v>455.35714285714289</v>
      </c>
      <c r="L11" s="459">
        <f t="shared" si="1"/>
        <v>125223.21428571429</v>
      </c>
    </row>
    <row r="12" spans="1:12" ht="14.4" hidden="1" customHeight="1" x14ac:dyDescent="0.3">
      <c r="A12" s="453" t="s">
        <v>17</v>
      </c>
      <c r="B12" s="133" t="s">
        <v>47</v>
      </c>
      <c r="C12" s="133" t="s">
        <v>62</v>
      </c>
      <c r="D12" s="134">
        <v>899896</v>
      </c>
      <c r="E12" s="135">
        <f t="shared" si="2"/>
        <v>3272.349090909091</v>
      </c>
      <c r="F12" s="608">
        <f t="shared" si="3"/>
        <v>22906.443636363638</v>
      </c>
      <c r="G12" s="709"/>
      <c r="H12" s="618">
        <f>'IBS Action Plan 20170131'!G15</f>
        <v>8</v>
      </c>
      <c r="I12" s="445">
        <f>'IBS Action Plan 20170131'!H15</f>
        <v>4</v>
      </c>
      <c r="J12" s="446">
        <f t="shared" si="4"/>
        <v>1100</v>
      </c>
      <c r="K12" s="446">
        <f t="shared" si="0"/>
        <v>0.5714285714285714</v>
      </c>
      <c r="L12" s="459">
        <f t="shared" si="1"/>
        <v>157.14285714285714</v>
      </c>
    </row>
    <row r="13" spans="1:12" ht="14.4" hidden="1" customHeight="1" x14ac:dyDescent="0.3">
      <c r="A13" s="450" t="s">
        <v>17</v>
      </c>
      <c r="B13" s="138" t="s">
        <v>47</v>
      </c>
      <c r="C13" s="138" t="s">
        <v>63</v>
      </c>
      <c r="D13" s="132">
        <v>300000</v>
      </c>
      <c r="E13" s="447">
        <f t="shared" si="2"/>
        <v>1090.909090909091</v>
      </c>
      <c r="F13" s="609">
        <f t="shared" si="3"/>
        <v>7636.3636363636369</v>
      </c>
      <c r="G13" s="709"/>
      <c r="H13" s="618">
        <f>'IBS Action Plan 20170131'!G16</f>
        <v>621</v>
      </c>
      <c r="I13" s="445">
        <f>'IBS Action Plan 20170131'!H16</f>
        <v>400.5</v>
      </c>
      <c r="J13" s="446">
        <f t="shared" si="4"/>
        <v>110137.5</v>
      </c>
      <c r="K13" s="446">
        <f t="shared" si="0"/>
        <v>57.214285714285708</v>
      </c>
      <c r="L13" s="459">
        <f t="shared" si="1"/>
        <v>15733.928571428571</v>
      </c>
    </row>
    <row r="14" spans="1:12" s="153" customFormat="1" ht="15" thickBot="1" x14ac:dyDescent="0.35">
      <c r="A14" s="451" t="s">
        <v>17</v>
      </c>
      <c r="B14" s="443" t="s">
        <v>47</v>
      </c>
      <c r="C14" s="443" t="s">
        <v>55</v>
      </c>
      <c r="D14" s="253">
        <f>+D12+D13</f>
        <v>1199896</v>
      </c>
      <c r="E14" s="454">
        <f>D14/275</f>
        <v>4363.2581818181816</v>
      </c>
      <c r="F14" s="610">
        <f t="shared" si="3"/>
        <v>30542.80727272727</v>
      </c>
      <c r="G14" s="709"/>
      <c r="H14" s="619">
        <f>'IBS Action Plan 20170131'!G27</f>
        <v>4728.9554859999998</v>
      </c>
      <c r="I14" s="454">
        <f>'IBS Action Plan 20170131'!H27</f>
        <v>4442.1611559999992</v>
      </c>
      <c r="J14" s="452">
        <f t="shared" si="4"/>
        <v>1221594.3178999997</v>
      </c>
      <c r="K14" s="452">
        <f t="shared" si="0"/>
        <v>634.59445085714265</v>
      </c>
      <c r="L14" s="464">
        <f t="shared" si="1"/>
        <v>174513.47398571423</v>
      </c>
    </row>
    <row r="15" spans="1:12" ht="15" thickBot="1" x14ac:dyDescent="0.35">
      <c r="A15" s="468" t="s">
        <v>14</v>
      </c>
      <c r="B15" s="469" t="s">
        <v>47</v>
      </c>
      <c r="C15" s="469"/>
      <c r="D15" s="470">
        <f>+D10+D11+D14</f>
        <v>3182800</v>
      </c>
      <c r="E15" s="470">
        <f>E10+E11+E12+E13</f>
        <v>11573.81818181818</v>
      </c>
      <c r="F15" s="611">
        <f>F10+F11+F12+F13</f>
        <v>81016.727272727265</v>
      </c>
      <c r="G15" s="709"/>
      <c r="H15" s="620">
        <f>'IBS Action Plan 20170131'!G28</f>
        <v>24986.955485999999</v>
      </c>
      <c r="I15" s="471">
        <f>'IBS Action Plan 20170131'!H28</f>
        <v>19181.661155999998</v>
      </c>
      <c r="J15" s="472">
        <f t="shared" si="4"/>
        <v>5274956.8178999992</v>
      </c>
      <c r="K15" s="472">
        <f t="shared" si="0"/>
        <v>2740.2373079999998</v>
      </c>
      <c r="L15" s="473">
        <f t="shared" si="1"/>
        <v>753565.25969999994</v>
      </c>
    </row>
    <row r="16" spans="1:12" x14ac:dyDescent="0.3">
      <c r="A16" s="465" t="s">
        <v>15</v>
      </c>
      <c r="B16" s="441" t="s">
        <v>207</v>
      </c>
      <c r="C16" s="441" t="s">
        <v>54</v>
      </c>
      <c r="D16" s="442">
        <v>693000</v>
      </c>
      <c r="E16" s="466">
        <f>D16/275</f>
        <v>2520</v>
      </c>
      <c r="F16" s="612">
        <f>E16*7</f>
        <v>17640</v>
      </c>
      <c r="G16" s="709"/>
      <c r="H16" s="617">
        <f>'IBS Action Plan 20170131'!G41</f>
        <v>9689</v>
      </c>
      <c r="I16" s="442">
        <f>'IBS Action Plan 20170131'!H41</f>
        <v>5821</v>
      </c>
      <c r="J16" s="466">
        <f t="shared" si="4"/>
        <v>1600775</v>
      </c>
      <c r="K16" s="466">
        <f t="shared" si="0"/>
        <v>831.57142857142867</v>
      </c>
      <c r="L16" s="467">
        <f t="shared" si="1"/>
        <v>228682.14285714287</v>
      </c>
    </row>
    <row r="17" spans="1:12" ht="14.4" hidden="1" customHeight="1" x14ac:dyDescent="0.3">
      <c r="A17" s="453" t="s">
        <v>16</v>
      </c>
      <c r="B17" s="133" t="s">
        <v>46</v>
      </c>
      <c r="C17" s="133" t="s">
        <v>139</v>
      </c>
      <c r="D17" s="134">
        <v>1597771</v>
      </c>
      <c r="E17" s="252">
        <f t="shared" ref="E17:E23" si="5">D17/275</f>
        <v>5810.0763636363636</v>
      </c>
      <c r="F17" s="606">
        <f t="shared" ref="F17:F23" si="6">E17*7</f>
        <v>40670.534545454546</v>
      </c>
      <c r="G17" s="709"/>
      <c r="H17" s="618"/>
      <c r="I17" s="445"/>
      <c r="J17" s="446">
        <f t="shared" si="4"/>
        <v>0</v>
      </c>
      <c r="K17" s="446">
        <f t="shared" si="0"/>
        <v>0</v>
      </c>
      <c r="L17" s="459">
        <f t="shared" si="1"/>
        <v>0</v>
      </c>
    </row>
    <row r="18" spans="1:12" ht="14.4" hidden="1" customHeight="1" x14ac:dyDescent="0.3">
      <c r="A18" s="448" t="s">
        <v>16</v>
      </c>
      <c r="B18" s="136" t="s">
        <v>46</v>
      </c>
      <c r="C18" s="136" t="s">
        <v>140</v>
      </c>
      <c r="D18" s="131">
        <v>1104858</v>
      </c>
      <c r="E18" s="137">
        <f t="shared" si="5"/>
        <v>4017.6654545454544</v>
      </c>
      <c r="F18" s="613">
        <f t="shared" si="6"/>
        <v>28123.65818181818</v>
      </c>
      <c r="G18" s="709"/>
      <c r="H18" s="618"/>
      <c r="I18" s="445"/>
      <c r="J18" s="446">
        <f t="shared" si="4"/>
        <v>0</v>
      </c>
      <c r="K18" s="446">
        <f t="shared" si="0"/>
        <v>0</v>
      </c>
      <c r="L18" s="459">
        <f t="shared" si="1"/>
        <v>0</v>
      </c>
    </row>
    <row r="19" spans="1:12" ht="14.4" hidden="1" customHeight="1" x14ac:dyDescent="0.3">
      <c r="A19" s="450" t="s">
        <v>16</v>
      </c>
      <c r="B19" s="138" t="s">
        <v>46</v>
      </c>
      <c r="C19" s="138" t="s">
        <v>141</v>
      </c>
      <c r="D19" s="132">
        <v>588223</v>
      </c>
      <c r="E19" s="137">
        <f t="shared" si="5"/>
        <v>2138.9927272727273</v>
      </c>
      <c r="F19" s="613">
        <f t="shared" si="6"/>
        <v>14972.949090909091</v>
      </c>
      <c r="G19" s="709"/>
      <c r="H19" s="618"/>
      <c r="I19" s="445"/>
      <c r="J19" s="446">
        <f t="shared" si="4"/>
        <v>0</v>
      </c>
      <c r="K19" s="446">
        <f t="shared" si="0"/>
        <v>0</v>
      </c>
      <c r="L19" s="459">
        <f t="shared" si="1"/>
        <v>0</v>
      </c>
    </row>
    <row r="20" spans="1:12" s="153" customFormat="1" ht="14.4" hidden="1" customHeight="1" x14ac:dyDescent="0.3">
      <c r="A20" s="460" t="s">
        <v>16</v>
      </c>
      <c r="B20" s="461" t="s">
        <v>142</v>
      </c>
      <c r="C20" s="461" t="s">
        <v>142</v>
      </c>
      <c r="D20" s="462">
        <v>389126</v>
      </c>
      <c r="E20" s="463">
        <v>1415</v>
      </c>
      <c r="F20" s="614">
        <v>9905</v>
      </c>
      <c r="G20" s="709"/>
      <c r="H20" s="618"/>
      <c r="I20" s="445"/>
      <c r="J20" s="446"/>
      <c r="K20" s="446"/>
      <c r="L20" s="459"/>
    </row>
    <row r="21" spans="1:12" s="153" customFormat="1" x14ac:dyDescent="0.3">
      <c r="A21" s="444" t="s">
        <v>16</v>
      </c>
      <c r="B21" s="15" t="s">
        <v>209</v>
      </c>
      <c r="C21" s="15" t="s">
        <v>54</v>
      </c>
      <c r="D21" s="445">
        <f>+D17+D18+D19+D20</f>
        <v>3679978</v>
      </c>
      <c r="E21" s="445">
        <f>+E17+E18+E19+E20</f>
        <v>13381.734545454545</v>
      </c>
      <c r="F21" s="564">
        <f t="shared" ref="F21" si="7">+F17+F18+F19+F20</f>
        <v>93672.141818181815</v>
      </c>
      <c r="G21" s="709"/>
      <c r="H21" s="618">
        <f>'IBS Action Plan 20170131'!G59</f>
        <v>16968</v>
      </c>
      <c r="I21" s="445">
        <f>'IBS Action Plan 20170131'!H59</f>
        <v>10210.5</v>
      </c>
      <c r="J21" s="446">
        <f t="shared" ref="J21:J26" si="8">I21*$J$29</f>
        <v>2807887.5</v>
      </c>
      <c r="K21" s="446">
        <f t="shared" ref="K21:K26" si="9">L21/$J$29</f>
        <v>1458.6428571428573</v>
      </c>
      <c r="L21" s="459">
        <f t="shared" si="1"/>
        <v>401126.78571428574</v>
      </c>
    </row>
    <row r="22" spans="1:12" ht="14.4" hidden="1" customHeight="1" x14ac:dyDescent="0.3">
      <c r="A22" s="453" t="s">
        <v>9</v>
      </c>
      <c r="B22" s="133" t="s">
        <v>46</v>
      </c>
      <c r="C22" s="133" t="s">
        <v>48</v>
      </c>
      <c r="D22" s="134">
        <v>249827</v>
      </c>
      <c r="E22" s="447">
        <f t="shared" si="5"/>
        <v>908.46181818181822</v>
      </c>
      <c r="F22" s="609">
        <f t="shared" si="6"/>
        <v>6359.2327272727271</v>
      </c>
      <c r="G22" s="709"/>
      <c r="H22" s="618"/>
      <c r="I22" s="445"/>
      <c r="J22" s="446">
        <f t="shared" si="8"/>
        <v>0</v>
      </c>
      <c r="K22" s="446">
        <f t="shared" si="9"/>
        <v>0</v>
      </c>
      <c r="L22" s="459">
        <f t="shared" si="1"/>
        <v>0</v>
      </c>
    </row>
    <row r="23" spans="1:12" ht="14.4" hidden="1" customHeight="1" x14ac:dyDescent="0.3">
      <c r="A23" s="449" t="s">
        <v>9</v>
      </c>
      <c r="B23" s="308" t="s">
        <v>46</v>
      </c>
      <c r="C23" s="308" t="s">
        <v>49</v>
      </c>
      <c r="D23" s="309">
        <v>505541</v>
      </c>
      <c r="E23" s="135">
        <f t="shared" si="5"/>
        <v>1838.330909090909</v>
      </c>
      <c r="F23" s="608">
        <f t="shared" si="6"/>
        <v>12868.316363636362</v>
      </c>
      <c r="G23" s="709"/>
      <c r="H23" s="618"/>
      <c r="I23" s="445"/>
      <c r="J23" s="446">
        <f t="shared" si="8"/>
        <v>0</v>
      </c>
      <c r="K23" s="446">
        <f t="shared" si="9"/>
        <v>0</v>
      </c>
      <c r="L23" s="459">
        <f t="shared" si="1"/>
        <v>0</v>
      </c>
    </row>
    <row r="24" spans="1:12" s="153" customFormat="1" ht="15" thickBot="1" x14ac:dyDescent="0.35">
      <c r="A24" s="451" t="s">
        <v>9</v>
      </c>
      <c r="B24" s="443" t="s">
        <v>207</v>
      </c>
      <c r="C24" s="443" t="s">
        <v>54</v>
      </c>
      <c r="D24" s="253">
        <f>D22+D23</f>
        <v>755368</v>
      </c>
      <c r="E24" s="253">
        <f t="shared" ref="E24:F24" si="10">E22+E23</f>
        <v>2746.7927272727275</v>
      </c>
      <c r="F24" s="615">
        <f t="shared" si="10"/>
        <v>19227.549090909088</v>
      </c>
      <c r="G24" s="709"/>
      <c r="H24" s="619">
        <f>'IBS Action Plan 20170131'!G72</f>
        <v>23935</v>
      </c>
      <c r="I24" s="454">
        <f>'IBS Action Plan 20170131'!H72</f>
        <v>18121</v>
      </c>
      <c r="J24" s="452">
        <f t="shared" si="8"/>
        <v>4983275</v>
      </c>
      <c r="K24" s="452">
        <f t="shared" si="9"/>
        <v>2588.7142857142853</v>
      </c>
      <c r="L24" s="464">
        <f t="shared" si="1"/>
        <v>711896.42857142852</v>
      </c>
    </row>
    <row r="25" spans="1:12" ht="15" thickBot="1" x14ac:dyDescent="0.35">
      <c r="A25" s="468" t="s">
        <v>14</v>
      </c>
      <c r="B25" s="469" t="s">
        <v>46</v>
      </c>
      <c r="C25" s="469" t="s">
        <v>54</v>
      </c>
      <c r="D25" s="470">
        <f>+D16+D21+D24</f>
        <v>5128346</v>
      </c>
      <c r="E25" s="470">
        <f>+E16+E21+E24</f>
        <v>18648.527272727271</v>
      </c>
      <c r="F25" s="611">
        <f>+F16+F21+F24</f>
        <v>130539.6909090909</v>
      </c>
      <c r="G25" s="709"/>
      <c r="H25" s="620">
        <f>'IBS Action Plan 20170131'!G73</f>
        <v>50592</v>
      </c>
      <c r="I25" s="471">
        <f>'IBS Action Plan 20170131'!H73</f>
        <v>34152.5</v>
      </c>
      <c r="J25" s="472">
        <f t="shared" si="8"/>
        <v>9391937.5</v>
      </c>
      <c r="K25" s="472">
        <f t="shared" si="9"/>
        <v>4878.9285714285706</v>
      </c>
      <c r="L25" s="473">
        <f t="shared" si="1"/>
        <v>1341705.357142857</v>
      </c>
    </row>
    <row r="26" spans="1:12" ht="15" thickBot="1" x14ac:dyDescent="0.35">
      <c r="A26" s="474" t="s">
        <v>7</v>
      </c>
      <c r="B26" s="469" t="s">
        <v>174</v>
      </c>
      <c r="C26" s="469"/>
      <c r="D26" s="472">
        <f>+D15+D25</f>
        <v>8311146</v>
      </c>
      <c r="E26" s="472">
        <f>+E15+E25</f>
        <v>30222.345454545452</v>
      </c>
      <c r="F26" s="616">
        <f>+F15+F25</f>
        <v>211556.41818181815</v>
      </c>
      <c r="G26" s="710"/>
      <c r="H26" s="621">
        <f>'IBS Action Plan 20170131'!G75</f>
        <v>75578.955485999992</v>
      </c>
      <c r="I26" s="472">
        <f>'IBS Action Plan 20170131'!H75</f>
        <v>53334.161156000002</v>
      </c>
      <c r="J26" s="472">
        <f t="shared" si="8"/>
        <v>14666894.3179</v>
      </c>
      <c r="K26" s="472">
        <f t="shared" si="9"/>
        <v>7619.1658794285713</v>
      </c>
      <c r="L26" s="473">
        <f>J26/7</f>
        <v>2095270.6168428571</v>
      </c>
    </row>
    <row r="29" spans="1:12" x14ac:dyDescent="0.3">
      <c r="J29" s="213">
        <v>275</v>
      </c>
    </row>
    <row r="31" spans="1:12" x14ac:dyDescent="0.3">
      <c r="J31" s="178"/>
      <c r="K31" s="178"/>
    </row>
  </sheetData>
  <mergeCells count="13">
    <mergeCell ref="A6:F6"/>
    <mergeCell ref="H6:L6"/>
    <mergeCell ref="G6:G26"/>
    <mergeCell ref="A7:A9"/>
    <mergeCell ref="B7:B9"/>
    <mergeCell ref="D7:D9"/>
    <mergeCell ref="E7:E9"/>
    <mergeCell ref="F7:F9"/>
    <mergeCell ref="I7:I9"/>
    <mergeCell ref="J7:J9"/>
    <mergeCell ref="K7:K9"/>
    <mergeCell ref="L7:L9"/>
    <mergeCell ref="H7:H9"/>
  </mergeCells>
  <pageMargins left="0.7" right="0.7" top="0.75" bottom="0.75" header="0.3" footer="0.3"/>
  <pageSetup scale="8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8"/>
  <sheetViews>
    <sheetView workbookViewId="0">
      <selection activeCell="A80" sqref="A80"/>
    </sheetView>
  </sheetViews>
  <sheetFormatPr defaultRowHeight="14.4" x14ac:dyDescent="0.3"/>
  <cols>
    <col min="1" max="1" width="12.33203125" customWidth="1"/>
    <col min="2" max="2" width="29.6640625" bestFit="1" customWidth="1"/>
    <col min="3" max="14" width="9.109375" hidden="1" customWidth="1"/>
    <col min="15" max="15" width="12.109375" customWidth="1"/>
    <col min="22" max="22" width="8.88671875" customWidth="1"/>
    <col min="23" max="23" width="12.5546875" customWidth="1"/>
    <col min="24" max="24" width="55.44140625" hidden="1" customWidth="1"/>
    <col min="25" max="25" width="0" hidden="1" customWidth="1"/>
  </cols>
  <sheetData>
    <row r="1" spans="1:25" ht="15" x14ac:dyDescent="0.25">
      <c r="A1" s="6" t="s">
        <v>64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50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</row>
    <row r="2" spans="1:25" x14ac:dyDescent="0.3">
      <c r="A2" s="296">
        <v>42766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50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</row>
    <row r="3" spans="1:25" s="153" customFormat="1" ht="15" thickBot="1" x14ac:dyDescent="0.35">
      <c r="A3" s="296" t="s">
        <v>238</v>
      </c>
      <c r="M3" s="50"/>
    </row>
    <row r="4" spans="1:25" ht="15" hidden="1" thickBot="1" x14ac:dyDescent="0.35">
      <c r="A4" s="725" t="s">
        <v>192</v>
      </c>
      <c r="B4" s="675"/>
      <c r="C4" s="675"/>
      <c r="D4" s="675"/>
      <c r="E4" s="675"/>
      <c r="F4" s="675"/>
      <c r="G4" s="675"/>
      <c r="H4" s="675"/>
      <c r="I4" s="675"/>
      <c r="J4" s="675"/>
      <c r="K4" s="675"/>
      <c r="L4" s="675"/>
      <c r="M4" s="675"/>
      <c r="N4" s="32"/>
      <c r="O4" s="674" t="s">
        <v>41</v>
      </c>
      <c r="P4" s="675"/>
      <c r="Q4" s="675"/>
      <c r="R4" s="675"/>
      <c r="S4" s="675"/>
      <c r="T4" s="675"/>
      <c r="U4" s="675"/>
      <c r="V4" s="675"/>
      <c r="W4" s="675"/>
      <c r="X4" s="675"/>
      <c r="Y4" s="11" t="s">
        <v>7</v>
      </c>
    </row>
    <row r="5" spans="1:25" ht="15" customHeight="1" x14ac:dyDescent="0.3">
      <c r="A5" s="726" t="s">
        <v>36</v>
      </c>
      <c r="B5" s="727" t="s">
        <v>202</v>
      </c>
      <c r="C5" s="728" t="s">
        <v>0</v>
      </c>
      <c r="D5" s="729"/>
      <c r="E5" s="729"/>
      <c r="F5" s="730"/>
      <c r="G5" s="588" t="s">
        <v>7</v>
      </c>
      <c r="H5" s="589" t="s">
        <v>197</v>
      </c>
      <c r="I5" s="589" t="s">
        <v>177</v>
      </c>
      <c r="J5" s="589" t="s">
        <v>164</v>
      </c>
      <c r="K5" s="588" t="s">
        <v>195</v>
      </c>
      <c r="L5" s="588" t="s">
        <v>13</v>
      </c>
      <c r="M5" s="588" t="s">
        <v>18</v>
      </c>
      <c r="N5" s="32"/>
      <c r="O5" s="727" t="s">
        <v>65</v>
      </c>
      <c r="P5" s="728" t="s">
        <v>0</v>
      </c>
      <c r="Q5" s="729"/>
      <c r="R5" s="729"/>
      <c r="S5" s="729"/>
      <c r="T5" s="729"/>
      <c r="U5" s="737" t="s">
        <v>224</v>
      </c>
      <c r="V5" s="738"/>
      <c r="W5" s="739"/>
      <c r="X5" s="590" t="s">
        <v>43</v>
      </c>
      <c r="Y5" s="46" t="s">
        <v>155</v>
      </c>
    </row>
    <row r="6" spans="1:25" x14ac:dyDescent="0.3">
      <c r="A6" s="685"/>
      <c r="B6" s="683"/>
      <c r="C6" s="36" t="s">
        <v>5</v>
      </c>
      <c r="D6" s="154" t="s">
        <v>3</v>
      </c>
      <c r="E6" s="154" t="s">
        <v>2</v>
      </c>
      <c r="F6" s="149" t="s">
        <v>1</v>
      </c>
      <c r="G6" s="154" t="s">
        <v>8</v>
      </c>
      <c r="H6" s="212" t="s">
        <v>175</v>
      </c>
      <c r="I6" s="212" t="s">
        <v>175</v>
      </c>
      <c r="J6" s="212" t="s">
        <v>179</v>
      </c>
      <c r="K6" s="154" t="s">
        <v>194</v>
      </c>
      <c r="L6" s="154" t="s">
        <v>194</v>
      </c>
      <c r="M6" s="194" t="s">
        <v>39</v>
      </c>
      <c r="N6" s="130"/>
      <c r="O6" s="683"/>
      <c r="P6" s="36" t="s">
        <v>5</v>
      </c>
      <c r="Q6" s="154" t="s">
        <v>3</v>
      </c>
      <c r="R6" s="154" t="s">
        <v>2</v>
      </c>
      <c r="S6" s="154" t="s">
        <v>1</v>
      </c>
      <c r="T6" s="154" t="s">
        <v>4</v>
      </c>
      <c r="U6" s="604" t="s">
        <v>7</v>
      </c>
      <c r="V6" s="601" t="s">
        <v>12</v>
      </c>
      <c r="W6" s="587" t="s">
        <v>13</v>
      </c>
      <c r="X6" s="47" t="s">
        <v>42</v>
      </c>
      <c r="Y6" s="47" t="s">
        <v>40</v>
      </c>
    </row>
    <row r="7" spans="1:25" x14ac:dyDescent="0.3">
      <c r="A7" s="685"/>
      <c r="B7" s="683"/>
      <c r="C7" s="36" t="s">
        <v>11</v>
      </c>
      <c r="D7" s="154" t="s">
        <v>11</v>
      </c>
      <c r="E7" s="154" t="s">
        <v>11</v>
      </c>
      <c r="F7" s="149" t="s">
        <v>11</v>
      </c>
      <c r="G7" s="154" t="s">
        <v>191</v>
      </c>
      <c r="H7" s="212" t="s">
        <v>199</v>
      </c>
      <c r="I7" s="212" t="s">
        <v>196</v>
      </c>
      <c r="J7" s="154" t="s">
        <v>193</v>
      </c>
      <c r="K7" s="154" t="s">
        <v>176</v>
      </c>
      <c r="L7" s="154" t="s">
        <v>176</v>
      </c>
      <c r="M7" s="194" t="s">
        <v>10</v>
      </c>
      <c r="N7" s="130"/>
      <c r="O7" s="683"/>
      <c r="P7" s="36" t="s">
        <v>11</v>
      </c>
      <c r="Q7" s="154" t="s">
        <v>11</v>
      </c>
      <c r="R7" s="154" t="s">
        <v>11</v>
      </c>
      <c r="S7" s="154" t="s">
        <v>11</v>
      </c>
      <c r="T7" s="154" t="s">
        <v>11</v>
      </c>
      <c r="U7" s="154" t="s">
        <v>11</v>
      </c>
      <c r="V7" s="602" t="s">
        <v>8</v>
      </c>
      <c r="W7" s="156" t="s">
        <v>8</v>
      </c>
      <c r="X7" s="47"/>
      <c r="Y7" s="47" t="s">
        <v>41</v>
      </c>
    </row>
    <row r="8" spans="1:25" ht="15" thickBot="1" x14ac:dyDescent="0.35">
      <c r="A8" s="591"/>
      <c r="B8" s="592"/>
      <c r="C8" s="593" t="s">
        <v>183</v>
      </c>
      <c r="D8" s="594" t="s">
        <v>184</v>
      </c>
      <c r="E8" s="594" t="s">
        <v>185</v>
      </c>
      <c r="F8" s="595" t="s">
        <v>186</v>
      </c>
      <c r="G8" s="594"/>
      <c r="H8" s="596"/>
      <c r="I8" s="596"/>
      <c r="J8" s="594" t="s">
        <v>187</v>
      </c>
      <c r="K8" s="594"/>
      <c r="L8" s="594"/>
      <c r="M8" s="597"/>
      <c r="N8" s="598"/>
      <c r="O8" s="592"/>
      <c r="P8" s="593"/>
      <c r="Q8" s="594"/>
      <c r="R8" s="594"/>
      <c r="S8" s="594"/>
      <c r="T8" s="594"/>
      <c r="U8" s="594"/>
      <c r="V8" s="603" t="s">
        <v>11</v>
      </c>
      <c r="W8" s="599" t="s">
        <v>11</v>
      </c>
      <c r="X8" s="600"/>
      <c r="Y8" s="47"/>
    </row>
    <row r="9" spans="1:25" x14ac:dyDescent="0.3">
      <c r="A9" s="731" t="s">
        <v>99</v>
      </c>
      <c r="B9" s="487" t="str">
        <f>'IBS Action Plan 20170131'!B9</f>
        <v>Klawli / Gillis</v>
      </c>
      <c r="C9" s="488">
        <f>'IBS Action Plan 20170131'!C9</f>
        <v>0</v>
      </c>
      <c r="D9" s="488">
        <f>'IBS Action Plan 20170131'!D9</f>
        <v>0</v>
      </c>
      <c r="E9" s="488">
        <f>'IBS Action Plan 20170131'!E9</f>
        <v>588</v>
      </c>
      <c r="F9" s="488">
        <f>'IBS Action Plan 20170131'!F9</f>
        <v>1346</v>
      </c>
      <c r="G9" s="488">
        <f>'IBS Action Plan 20170131'!G9</f>
        <v>1934</v>
      </c>
      <c r="H9" s="488">
        <f>'IBS Action Plan 20170131'!H9</f>
        <v>1261</v>
      </c>
      <c r="I9" s="488">
        <f>'IBS Action Plan 20170131'!I9</f>
        <v>0.65201654601861425</v>
      </c>
      <c r="J9" s="488">
        <f>'IBS Action Plan 20170131'!J9</f>
        <v>5704</v>
      </c>
      <c r="K9" s="488">
        <f>'IBS Action Plan 20170131'!K9</f>
        <v>0</v>
      </c>
      <c r="L9" s="488">
        <f>'IBS Action Plan 20170131'!L9</f>
        <v>7638</v>
      </c>
      <c r="M9" s="488" t="str">
        <f>'IBS Action Plan 20170131'!N9</f>
        <v xml:space="preserve"> 2020 - 22  </v>
      </c>
      <c r="N9" s="489"/>
      <c r="O9" s="490" t="str">
        <f>'IBS Action Plan 20170131'!P9</f>
        <v>Economic</v>
      </c>
      <c r="P9" s="490">
        <f>'IBS Action Plan 20170131'!Q9</f>
        <v>0</v>
      </c>
      <c r="Q9" s="490">
        <f>'IBS Action Plan 20170131'!R9</f>
        <v>0</v>
      </c>
      <c r="R9" s="490">
        <f>'IBS Action Plan 20170131'!S9</f>
        <v>0</v>
      </c>
      <c r="S9" s="490">
        <f>'IBS Action Plan 20170131'!T9</f>
        <v>0</v>
      </c>
      <c r="T9" s="490">
        <f>'IBS Action Plan 20170131'!U9</f>
        <v>425</v>
      </c>
      <c r="U9" s="490">
        <f>'IBS Action Plan 20170131'!V9</f>
        <v>425</v>
      </c>
      <c r="V9" s="490">
        <f>'IBS Action Plan 20170131'!W9</f>
        <v>170</v>
      </c>
      <c r="W9" s="490">
        <f>'IBS Action Plan 20170131'!X9</f>
        <v>255</v>
      </c>
      <c r="X9" s="491" t="str">
        <f>'IBS Action Plan 20170131'!Y9</f>
        <v>Other</v>
      </c>
      <c r="Y9" s="433">
        <f>+G9+J9+U9</f>
        <v>8063</v>
      </c>
    </row>
    <row r="10" spans="1:25" x14ac:dyDescent="0.3">
      <c r="A10" s="732"/>
      <c r="B10" s="492" t="s">
        <v>102</v>
      </c>
      <c r="C10" s="163">
        <f>'IBS Action Plan 20170131'!C10</f>
        <v>0</v>
      </c>
      <c r="D10" s="163">
        <f>'IBS Action Plan 20170131'!D10</f>
        <v>0</v>
      </c>
      <c r="E10" s="163">
        <f>'IBS Action Plan 20170131'!E10</f>
        <v>748</v>
      </c>
      <c r="F10" s="163">
        <f>'IBS Action Plan 20170131'!F10</f>
        <v>1530</v>
      </c>
      <c r="G10" s="163">
        <f>'IBS Action Plan 20170131'!G10</f>
        <v>2278</v>
      </c>
      <c r="H10" s="163">
        <f>'IBS Action Plan 20170131'!H10</f>
        <v>1513</v>
      </c>
      <c r="I10" s="163">
        <f>'IBS Action Plan 20170131'!I10</f>
        <v>0.66417910447761197</v>
      </c>
      <c r="J10" s="163">
        <f>'IBS Action Plan 20170131'!J10</f>
        <v>236</v>
      </c>
      <c r="K10" s="163">
        <f>'IBS Action Plan 20170131'!K10</f>
        <v>1005</v>
      </c>
      <c r="L10" s="163">
        <f>'IBS Action Plan 20170131'!L10</f>
        <v>1509</v>
      </c>
      <c r="M10" s="163" t="str">
        <f>'IBS Action Plan 20170131'!N10</f>
        <v xml:space="preserve"> 2017 - 2020 </v>
      </c>
      <c r="N10" s="493"/>
      <c r="O10" s="494" t="str">
        <f>'IBS Action Plan 20170131'!P10</f>
        <v>Economic</v>
      </c>
      <c r="P10" s="494">
        <f>'IBS Action Plan 20170131'!Q10</f>
        <v>0</v>
      </c>
      <c r="Q10" s="494">
        <f>'IBS Action Plan 20170131'!R10</f>
        <v>0</v>
      </c>
      <c r="R10" s="494">
        <f>'IBS Action Plan 20170131'!S10</f>
        <v>437</v>
      </c>
      <c r="S10" s="494">
        <f>'IBS Action Plan 20170131'!T10</f>
        <v>3554</v>
      </c>
      <c r="T10" s="494">
        <f>'IBS Action Plan 20170131'!U10</f>
        <v>4713</v>
      </c>
      <c r="U10" s="494">
        <f>'IBS Action Plan 20170131'!V10</f>
        <v>8704</v>
      </c>
      <c r="V10" s="494">
        <f>'IBS Action Plan 20170131'!W10</f>
        <v>3481.6000000000004</v>
      </c>
      <c r="W10" s="494">
        <f>'IBS Action Plan 20170131'!X10</f>
        <v>5222.3999999999996</v>
      </c>
      <c r="X10" s="495" t="str">
        <f>'IBS Action Plan 20170131'!Y10</f>
        <v xml:space="preserve">Roads, other </v>
      </c>
      <c r="Y10" s="177">
        <f t="shared" ref="Y10:Y73" si="0">+G10+J10+U10</f>
        <v>11218</v>
      </c>
    </row>
    <row r="11" spans="1:25" x14ac:dyDescent="0.3">
      <c r="A11" s="732"/>
      <c r="B11" s="492" t="s">
        <v>104</v>
      </c>
      <c r="C11" s="163">
        <f>'IBS Action Plan 20170131'!C11</f>
        <v>0</v>
      </c>
      <c r="D11" s="163">
        <f>'IBS Action Plan 20170131'!D11</f>
        <v>711</v>
      </c>
      <c r="E11" s="163">
        <f>'IBS Action Plan 20170131'!E11</f>
        <v>5061</v>
      </c>
      <c r="F11" s="163">
        <f>'IBS Action Plan 20170131'!F11</f>
        <v>3285</v>
      </c>
      <c r="G11" s="163">
        <f>'IBS Action Plan 20170131'!G11</f>
        <v>9057</v>
      </c>
      <c r="H11" s="163">
        <f>'IBS Action Plan 20170131'!H11</f>
        <v>7414.5</v>
      </c>
      <c r="I11" s="163">
        <f>'IBS Action Plan 20170131'!I11</f>
        <v>0.81864855912553824</v>
      </c>
      <c r="J11" s="163">
        <f>'IBS Action Plan 20170131'!J11</f>
        <v>433</v>
      </c>
      <c r="K11" s="163">
        <f>'IBS Action Plan 20170131'!K11</f>
        <v>3796</v>
      </c>
      <c r="L11" s="163">
        <f>'IBS Action Plan 20170131'!L11</f>
        <v>5694</v>
      </c>
      <c r="M11" s="163" t="str">
        <f>'IBS Action Plan 20170131'!N11</f>
        <v xml:space="preserve"> 2017 - 2021 </v>
      </c>
      <c r="N11" s="493"/>
      <c r="O11" s="494" t="str">
        <f>'IBS Action Plan 20170131'!P11</f>
        <v>Economic</v>
      </c>
      <c r="P11" s="494">
        <f>'IBS Action Plan 20170131'!Q11</f>
        <v>0</v>
      </c>
      <c r="Q11" s="494">
        <f>'IBS Action Plan 20170131'!R11</f>
        <v>0</v>
      </c>
      <c r="R11" s="494">
        <f>'IBS Action Plan 20170131'!S11</f>
        <v>9563</v>
      </c>
      <c r="S11" s="494">
        <f>'IBS Action Plan 20170131'!T11</f>
        <v>2026</v>
      </c>
      <c r="T11" s="494">
        <f>'IBS Action Plan 20170131'!U11</f>
        <v>55</v>
      </c>
      <c r="U11" s="494">
        <f>'IBS Action Plan 20170131'!V11</f>
        <v>11644</v>
      </c>
      <c r="V11" s="494">
        <f>'IBS Action Plan 20170131'!W11</f>
        <v>4657.6000000000004</v>
      </c>
      <c r="W11" s="494">
        <f>'IBS Action Plan 20170131'!X11</f>
        <v>6986.4</v>
      </c>
      <c r="X11" s="495" t="str">
        <f>'IBS Action Plan 20170131'!Y11</f>
        <v>Roads, other</v>
      </c>
      <c r="Y11" s="177">
        <f t="shared" si="0"/>
        <v>21134</v>
      </c>
    </row>
    <row r="12" spans="1:25" x14ac:dyDescent="0.3">
      <c r="A12" s="732"/>
      <c r="B12" s="492" t="s">
        <v>106</v>
      </c>
      <c r="C12" s="163">
        <f>'IBS Action Plan 20170131'!C12</f>
        <v>0</v>
      </c>
      <c r="D12" s="163">
        <f>'IBS Action Plan 20170131'!D12</f>
        <v>0</v>
      </c>
      <c r="E12" s="163">
        <f>'IBS Action Plan 20170131'!E12</f>
        <v>0</v>
      </c>
      <c r="F12" s="163">
        <f>'IBS Action Plan 20170131'!F12</f>
        <v>2727</v>
      </c>
      <c r="G12" s="163">
        <f>'IBS Action Plan 20170131'!G12</f>
        <v>2727</v>
      </c>
      <c r="H12" s="163">
        <f>'IBS Action Plan 20170131'!H12</f>
        <v>1363.5</v>
      </c>
      <c r="I12" s="163">
        <f>'IBS Action Plan 20170131'!I12</f>
        <v>0.5</v>
      </c>
      <c r="J12" s="163">
        <f>'IBS Action Plan 20170131'!J12</f>
        <v>2205</v>
      </c>
      <c r="K12" s="163">
        <f>'IBS Action Plan 20170131'!K12</f>
        <v>0</v>
      </c>
      <c r="L12" s="163">
        <f>'IBS Action Plan 20170131'!L12</f>
        <v>4932</v>
      </c>
      <c r="M12" s="163" t="str">
        <f>'IBS Action Plan 20170131'!N12</f>
        <v xml:space="preserve"> 2017 - 2022 </v>
      </c>
      <c r="N12" s="493"/>
      <c r="O12" s="494" t="str">
        <f>'IBS Action Plan 20170131'!P12</f>
        <v>-</v>
      </c>
      <c r="P12" s="494">
        <f>'IBS Action Plan 20170131'!Q12</f>
        <v>0</v>
      </c>
      <c r="Q12" s="494">
        <f>'IBS Action Plan 20170131'!R12</f>
        <v>0</v>
      </c>
      <c r="R12" s="494">
        <f>'IBS Action Plan 20170131'!S12</f>
        <v>0</v>
      </c>
      <c r="S12" s="494">
        <f>'IBS Action Plan 20170131'!T12</f>
        <v>0</v>
      </c>
      <c r="T12" s="494">
        <f>'IBS Action Plan 20170131'!U12</f>
        <v>0</v>
      </c>
      <c r="U12" s="494">
        <f>'IBS Action Plan 20170131'!V12</f>
        <v>0</v>
      </c>
      <c r="V12" s="494">
        <f>'IBS Action Plan 20170131'!W12</f>
        <v>0</v>
      </c>
      <c r="W12" s="494">
        <f>'IBS Action Plan 20170131'!X12</f>
        <v>0</v>
      </c>
      <c r="X12" s="495">
        <f>'IBS Action Plan 20170131'!Y12</f>
        <v>0</v>
      </c>
      <c r="Y12" s="434">
        <f t="shared" si="0"/>
        <v>4932</v>
      </c>
    </row>
    <row r="13" spans="1:25" x14ac:dyDescent="0.3">
      <c r="A13" s="392" t="s">
        <v>14</v>
      </c>
      <c r="B13" s="496" t="s">
        <v>172</v>
      </c>
      <c r="C13" s="163">
        <f>'IBS Action Plan 20170131'!C13</f>
        <v>0</v>
      </c>
      <c r="D13" s="163">
        <f>'IBS Action Plan 20170131'!D13</f>
        <v>711</v>
      </c>
      <c r="E13" s="163">
        <f>'IBS Action Plan 20170131'!E13</f>
        <v>6397</v>
      </c>
      <c r="F13" s="163">
        <f>'IBS Action Plan 20170131'!F13</f>
        <v>8888</v>
      </c>
      <c r="G13" s="163">
        <f>'IBS Action Plan 20170131'!G13</f>
        <v>15996</v>
      </c>
      <c r="H13" s="163">
        <f>'IBS Action Plan 20170131'!H13</f>
        <v>11552</v>
      </c>
      <c r="I13" s="163">
        <f>'IBS Action Plan 20170131'!I13</f>
        <v>0.72218054513628405</v>
      </c>
      <c r="J13" s="163">
        <f>'IBS Action Plan 20170131'!J13</f>
        <v>8578</v>
      </c>
      <c r="K13" s="163">
        <f>'IBS Action Plan 20170131'!K13</f>
        <v>4801</v>
      </c>
      <c r="L13" s="163">
        <f>'IBS Action Plan 20170131'!L13</f>
        <v>19773</v>
      </c>
      <c r="M13" s="163" t="str">
        <f>'IBS Action Plan 20170131'!N13</f>
        <v xml:space="preserve">                   -  </v>
      </c>
      <c r="N13" s="493"/>
      <c r="O13" s="494" t="str">
        <f>'IBS Action Plan 20170131'!P13</f>
        <v xml:space="preserve">             -  </v>
      </c>
      <c r="P13" s="494">
        <f>'IBS Action Plan 20170131'!Q13</f>
        <v>0</v>
      </c>
      <c r="Q13" s="494">
        <f>'IBS Action Plan 20170131'!R13</f>
        <v>0</v>
      </c>
      <c r="R13" s="494">
        <f>'IBS Action Plan 20170131'!S13</f>
        <v>10000</v>
      </c>
      <c r="S13" s="494">
        <f>'IBS Action Plan 20170131'!T13</f>
        <v>5580</v>
      </c>
      <c r="T13" s="494">
        <f>'IBS Action Plan 20170131'!U13</f>
        <v>5193</v>
      </c>
      <c r="U13" s="494">
        <f>'IBS Action Plan 20170131'!V13</f>
        <v>20773</v>
      </c>
      <c r="V13" s="494">
        <f>'IBS Action Plan 20170131'!W13</f>
        <v>8309.2000000000007</v>
      </c>
      <c r="W13" s="494">
        <f>'IBS Action Plan 20170131'!X13</f>
        <v>12463.8</v>
      </c>
      <c r="X13" s="495">
        <f>'IBS Action Plan 20170131'!Y13</f>
        <v>0</v>
      </c>
      <c r="Y13" s="114">
        <f t="shared" si="0"/>
        <v>45347</v>
      </c>
    </row>
    <row r="14" spans="1:25" ht="43.2" x14ac:dyDescent="0.3">
      <c r="A14" s="733" t="s">
        <v>156</v>
      </c>
      <c r="B14" s="497" t="s">
        <v>67</v>
      </c>
      <c r="C14" s="163">
        <f>'IBS Action Plan 20170131'!C14</f>
        <v>782</v>
      </c>
      <c r="D14" s="163">
        <f>'IBS Action Plan 20170131'!D14</f>
        <v>404</v>
      </c>
      <c r="E14" s="163">
        <f>'IBS Action Plan 20170131'!E14</f>
        <v>546</v>
      </c>
      <c r="F14" s="163">
        <f>'IBS Action Plan 20170131'!F14</f>
        <v>991</v>
      </c>
      <c r="G14" s="163">
        <f>'IBS Action Plan 20170131'!G14</f>
        <v>2723</v>
      </c>
      <c r="H14" s="163">
        <f>'IBS Action Plan 20170131'!H14</f>
        <v>2227.5</v>
      </c>
      <c r="I14" s="163">
        <f>'IBS Action Plan 20170131'!I14</f>
        <v>0.81803158281307387</v>
      </c>
      <c r="J14" s="163">
        <f>'IBS Action Plan 20170131'!J14</f>
        <v>297</v>
      </c>
      <c r="K14" s="163">
        <f>'IBS Action Plan 20170131'!K14</f>
        <v>205</v>
      </c>
      <c r="L14" s="163">
        <f>'IBS Action Plan 20170131'!L14</f>
        <v>2814</v>
      </c>
      <c r="M14" s="163" t="str">
        <f>'IBS Action Plan 20170131'!N14</f>
        <v xml:space="preserve"> 2017-2019 </v>
      </c>
      <c r="N14" s="498"/>
      <c r="O14" s="494" t="str">
        <f>'IBS Action Plan 20170131'!P14</f>
        <v xml:space="preserve"> Legal </v>
      </c>
      <c r="P14" s="494">
        <f>'IBS Action Plan 20170131'!Q14</f>
        <v>0</v>
      </c>
      <c r="Q14" s="494">
        <f>'IBS Action Plan 20170131'!R14</f>
        <v>0</v>
      </c>
      <c r="R14" s="494">
        <f>'IBS Action Plan 20170131'!S14</f>
        <v>11</v>
      </c>
      <c r="S14" s="494">
        <f>'IBS Action Plan 20170131'!T14</f>
        <v>20</v>
      </c>
      <c r="T14" s="494">
        <f>'IBS Action Plan 20170131'!U14</f>
        <v>10</v>
      </c>
      <c r="U14" s="494">
        <f>'IBS Action Plan 20170131'!V14</f>
        <v>41</v>
      </c>
      <c r="V14" s="494">
        <f>'IBS Action Plan 20170131'!W14</f>
        <v>3</v>
      </c>
      <c r="W14" s="494">
        <f>'IBS Action Plan 20170131'!X14</f>
        <v>38</v>
      </c>
      <c r="X14" s="499" t="str">
        <f>'IBS Action Plan 20170131'!Y14</f>
        <v xml:space="preserve"> Fieldwork indicates that the Burden beetle areas are inflated, possibly due to inclusion of 2015 polygons that weren't picked up in 2016 AOS  </v>
      </c>
      <c r="Y14" s="113">
        <f t="shared" si="0"/>
        <v>3061</v>
      </c>
    </row>
    <row r="15" spans="1:25" x14ac:dyDescent="0.3">
      <c r="A15" s="733"/>
      <c r="B15" s="497" t="s">
        <v>68</v>
      </c>
      <c r="C15" s="163">
        <f>'IBS Action Plan 20170131'!C15</f>
        <v>0</v>
      </c>
      <c r="D15" s="163">
        <f>'IBS Action Plan 20170131'!D15</f>
        <v>0</v>
      </c>
      <c r="E15" s="163">
        <f>'IBS Action Plan 20170131'!E15</f>
        <v>0</v>
      </c>
      <c r="F15" s="163">
        <f>'IBS Action Plan 20170131'!F15</f>
        <v>8</v>
      </c>
      <c r="G15" s="163">
        <f>'IBS Action Plan 20170131'!G15</f>
        <v>8</v>
      </c>
      <c r="H15" s="163">
        <f>'IBS Action Plan 20170131'!H15</f>
        <v>4</v>
      </c>
      <c r="I15" s="163">
        <f>'IBS Action Plan 20170131'!I15</f>
        <v>0.5</v>
      </c>
      <c r="J15" s="163">
        <f>'IBS Action Plan 20170131'!J15</f>
        <v>382</v>
      </c>
      <c r="K15" s="163">
        <f>'IBS Action Plan 20170131'!K15</f>
        <v>17</v>
      </c>
      <c r="L15" s="163">
        <f>'IBS Action Plan 20170131'!L15</f>
        <v>372</v>
      </c>
      <c r="M15" s="163" t="str">
        <f>'IBS Action Plan 20170131'!N15</f>
        <v xml:space="preserve"> 2018-2020 </v>
      </c>
      <c r="N15" s="498"/>
      <c r="O15" s="494">
        <f>'IBS Action Plan 20170131'!P15</f>
        <v>0</v>
      </c>
      <c r="P15" s="494">
        <f>'IBS Action Plan 20170131'!Q15</f>
        <v>0</v>
      </c>
      <c r="Q15" s="494">
        <f>'IBS Action Plan 20170131'!R15</f>
        <v>0</v>
      </c>
      <c r="R15" s="494">
        <f>'IBS Action Plan 20170131'!S15</f>
        <v>0</v>
      </c>
      <c r="S15" s="494">
        <f>'IBS Action Plan 20170131'!T15</f>
        <v>0</v>
      </c>
      <c r="T15" s="494">
        <f>'IBS Action Plan 20170131'!U15</f>
        <v>0</v>
      </c>
      <c r="U15" s="494">
        <f>'IBS Action Plan 20170131'!V15</f>
        <v>0</v>
      </c>
      <c r="V15" s="494">
        <f>'IBS Action Plan 20170131'!W15</f>
        <v>0</v>
      </c>
      <c r="W15" s="494">
        <f>'IBS Action Plan 20170131'!X15</f>
        <v>0</v>
      </c>
      <c r="X15" s="495">
        <f>'IBS Action Plan 20170131'!Y15</f>
        <v>0</v>
      </c>
      <c r="Y15" s="177">
        <f t="shared" si="0"/>
        <v>390</v>
      </c>
    </row>
    <row r="16" spans="1:25" x14ac:dyDescent="0.3">
      <c r="A16" s="733"/>
      <c r="B16" s="497" t="s">
        <v>88</v>
      </c>
      <c r="C16" s="163">
        <f>'IBS Action Plan 20170131'!C16</f>
        <v>95</v>
      </c>
      <c r="D16" s="163">
        <f>'IBS Action Plan 20170131'!D16</f>
        <v>71</v>
      </c>
      <c r="E16" s="163">
        <f>'IBS Action Plan 20170131'!E16</f>
        <v>14</v>
      </c>
      <c r="F16" s="163">
        <f>'IBS Action Plan 20170131'!F16</f>
        <v>441</v>
      </c>
      <c r="G16" s="163">
        <f>'IBS Action Plan 20170131'!G16</f>
        <v>621</v>
      </c>
      <c r="H16" s="163">
        <f>'IBS Action Plan 20170131'!H16</f>
        <v>400.5</v>
      </c>
      <c r="I16" s="163">
        <f>'IBS Action Plan 20170131'!I16</f>
        <v>0.64492753623188404</v>
      </c>
      <c r="J16" s="163">
        <f>'IBS Action Plan 20170131'!J16</f>
        <v>1239</v>
      </c>
      <c r="K16" s="163">
        <f>'IBS Action Plan 20170131'!K16</f>
        <v>195</v>
      </c>
      <c r="L16" s="163">
        <f>'IBS Action Plan 20170131'!L16</f>
        <v>1665</v>
      </c>
      <c r="M16" s="163" t="str">
        <f>'IBS Action Plan 20170131'!N16</f>
        <v xml:space="preserve"> 2017-2019 </v>
      </c>
      <c r="N16" s="498"/>
      <c r="O16" s="494" t="str">
        <f>'IBS Action Plan 20170131'!P16</f>
        <v xml:space="preserve"> Legal </v>
      </c>
      <c r="P16" s="494">
        <f>'IBS Action Plan 20170131'!Q16</f>
        <v>0</v>
      </c>
      <c r="Q16" s="494">
        <f>'IBS Action Plan 20170131'!R16</f>
        <v>0</v>
      </c>
      <c r="R16" s="494">
        <f>'IBS Action Plan 20170131'!S16</f>
        <v>6</v>
      </c>
      <c r="S16" s="494">
        <f>'IBS Action Plan 20170131'!T16</f>
        <v>0</v>
      </c>
      <c r="T16" s="494">
        <f>'IBS Action Plan 20170131'!U16</f>
        <v>42</v>
      </c>
      <c r="U16" s="494">
        <f>'IBS Action Plan 20170131'!V16</f>
        <v>48</v>
      </c>
      <c r="V16" s="494">
        <f>'IBS Action Plan 20170131'!W16</f>
        <v>0</v>
      </c>
      <c r="W16" s="494">
        <f>'IBS Action Plan 20170131'!X16</f>
        <v>48</v>
      </c>
      <c r="X16" s="495" t="str">
        <f>'IBS Action Plan 20170131'!Y16</f>
        <v xml:space="preserve">Recreation Site; isolated; access </v>
      </c>
      <c r="Y16" s="177">
        <f t="shared" si="0"/>
        <v>1908</v>
      </c>
    </row>
    <row r="17" spans="1:25" x14ac:dyDescent="0.3">
      <c r="A17" s="733"/>
      <c r="B17" s="497" t="s">
        <v>69</v>
      </c>
      <c r="C17" s="163">
        <f>'IBS Action Plan 20170131'!C17</f>
        <v>3</v>
      </c>
      <c r="D17" s="163">
        <f>'IBS Action Plan 20170131'!D17</f>
        <v>0</v>
      </c>
      <c r="E17" s="163">
        <f>'IBS Action Plan 20170131'!E17</f>
        <v>4</v>
      </c>
      <c r="F17" s="163">
        <f>'IBS Action Plan 20170131'!F17</f>
        <v>24</v>
      </c>
      <c r="G17" s="163">
        <f>'IBS Action Plan 20170131'!G17</f>
        <v>31</v>
      </c>
      <c r="H17" s="163">
        <f>'IBS Action Plan 20170131'!H17</f>
        <v>19</v>
      </c>
      <c r="I17" s="163">
        <f>'IBS Action Plan 20170131'!I17</f>
        <v>0.61290322580645162</v>
      </c>
      <c r="J17" s="163">
        <f>'IBS Action Plan 20170131'!J17</f>
        <v>160</v>
      </c>
      <c r="K17" s="163">
        <f>'IBS Action Plan 20170131'!K17</f>
        <v>4</v>
      </c>
      <c r="L17" s="163">
        <f>'IBS Action Plan 20170131'!L17</f>
        <v>186</v>
      </c>
      <c r="M17" s="163" t="str">
        <f>'IBS Action Plan 20170131'!N17</f>
        <v xml:space="preserve"> 2017-2020 </v>
      </c>
      <c r="N17" s="498"/>
      <c r="O17" s="494" t="str">
        <f>'IBS Action Plan 20170131'!P17</f>
        <v xml:space="preserve"> Economic </v>
      </c>
      <c r="P17" s="494">
        <f>'IBS Action Plan 20170131'!Q17</f>
        <v>0</v>
      </c>
      <c r="Q17" s="494">
        <f>'IBS Action Plan 20170131'!R17</f>
        <v>0</v>
      </c>
      <c r="R17" s="494">
        <f>'IBS Action Plan 20170131'!S17</f>
        <v>0</v>
      </c>
      <c r="S17" s="494">
        <f>'IBS Action Plan 20170131'!T17</f>
        <v>0</v>
      </c>
      <c r="T17" s="494">
        <f>'IBS Action Plan 20170131'!U17</f>
        <v>5</v>
      </c>
      <c r="U17" s="494">
        <f>'IBS Action Plan 20170131'!V17</f>
        <v>5</v>
      </c>
      <c r="V17" s="494">
        <f>'IBS Action Plan 20170131'!W17</f>
        <v>0</v>
      </c>
      <c r="W17" s="494">
        <f>'IBS Action Plan 20170131'!X17</f>
        <v>5</v>
      </c>
      <c r="X17" s="495" t="str">
        <f>'IBS Action Plan 20170131'!Y17</f>
        <v xml:space="preserve">Access; isolated </v>
      </c>
      <c r="Y17" s="177">
        <f t="shared" si="0"/>
        <v>196</v>
      </c>
    </row>
    <row r="18" spans="1:25" x14ac:dyDescent="0.3">
      <c r="A18" s="733"/>
      <c r="B18" s="497" t="s">
        <v>70</v>
      </c>
      <c r="C18" s="163">
        <f>'IBS Action Plan 20170131'!C18</f>
        <v>0</v>
      </c>
      <c r="D18" s="163">
        <f>'IBS Action Plan 20170131'!D18</f>
        <v>10</v>
      </c>
      <c r="E18" s="163">
        <f>'IBS Action Plan 20170131'!E18</f>
        <v>25</v>
      </c>
      <c r="F18" s="163">
        <f>'IBS Action Plan 20170131'!F18</f>
        <v>0</v>
      </c>
      <c r="G18" s="163">
        <f>'IBS Action Plan 20170131'!G18</f>
        <v>35</v>
      </c>
      <c r="H18" s="163">
        <f>'IBS Action Plan 20170131'!H18</f>
        <v>35</v>
      </c>
      <c r="I18" s="163">
        <f>'IBS Action Plan 20170131'!I18</f>
        <v>1</v>
      </c>
      <c r="J18" s="163">
        <f>'IBS Action Plan 20170131'!J18</f>
        <v>612</v>
      </c>
      <c r="K18" s="163">
        <f>'IBS Action Plan 20170131'!K18</f>
        <v>100</v>
      </c>
      <c r="L18" s="163">
        <f>'IBS Action Plan 20170131'!L18</f>
        <v>547</v>
      </c>
      <c r="M18" s="163" t="str">
        <f>'IBS Action Plan 20170131'!N18</f>
        <v xml:space="preserve"> 2017-2019 </v>
      </c>
      <c r="N18" s="498"/>
      <c r="O18" s="494">
        <f>'IBS Action Plan 20170131'!P18</f>
        <v>0</v>
      </c>
      <c r="P18" s="494">
        <f>'IBS Action Plan 20170131'!Q18</f>
        <v>0</v>
      </c>
      <c r="Q18" s="494">
        <f>'IBS Action Plan 20170131'!R18</f>
        <v>0</v>
      </c>
      <c r="R18" s="494">
        <f>'IBS Action Plan 20170131'!S18</f>
        <v>0</v>
      </c>
      <c r="S18" s="494">
        <f>'IBS Action Plan 20170131'!T18</f>
        <v>0</v>
      </c>
      <c r="T18" s="494">
        <f>'IBS Action Plan 20170131'!U18</f>
        <v>0</v>
      </c>
      <c r="U18" s="494">
        <f>'IBS Action Plan 20170131'!V18</f>
        <v>0</v>
      </c>
      <c r="V18" s="494">
        <f>'IBS Action Plan 20170131'!W18</f>
        <v>0</v>
      </c>
      <c r="W18" s="494">
        <f>'IBS Action Plan 20170131'!X18</f>
        <v>0</v>
      </c>
      <c r="X18" s="495">
        <f>'IBS Action Plan 20170131'!Y18</f>
        <v>0</v>
      </c>
      <c r="Y18" s="177">
        <f t="shared" si="0"/>
        <v>647</v>
      </c>
    </row>
    <row r="19" spans="1:25" x14ac:dyDescent="0.3">
      <c r="A19" s="733"/>
      <c r="B19" s="497" t="s">
        <v>71</v>
      </c>
      <c r="C19" s="163">
        <f>'IBS Action Plan 20170131'!C19</f>
        <v>0</v>
      </c>
      <c r="D19" s="163">
        <f>'IBS Action Plan 20170131'!D19</f>
        <v>0</v>
      </c>
      <c r="E19" s="163">
        <f>'IBS Action Plan 20170131'!E19</f>
        <v>143</v>
      </c>
      <c r="F19" s="163">
        <f>'IBS Action Plan 20170131'!F19</f>
        <v>208</v>
      </c>
      <c r="G19" s="163">
        <f>'IBS Action Plan 20170131'!G19</f>
        <v>351</v>
      </c>
      <c r="H19" s="163">
        <f>'IBS Action Plan 20170131'!H19</f>
        <v>247</v>
      </c>
      <c r="I19" s="163">
        <f>'IBS Action Plan 20170131'!I19</f>
        <v>0.70370370370370372</v>
      </c>
      <c r="J19" s="163">
        <f>'IBS Action Plan 20170131'!J19</f>
        <v>197</v>
      </c>
      <c r="K19" s="163">
        <f>'IBS Action Plan 20170131'!K19</f>
        <v>46</v>
      </c>
      <c r="L19" s="163">
        <f>'IBS Action Plan 20170131'!L19</f>
        <v>503</v>
      </c>
      <c r="M19" s="163" t="str">
        <f>'IBS Action Plan 20170131'!N19</f>
        <v xml:space="preserve"> 2017-2019 </v>
      </c>
      <c r="N19" s="498"/>
      <c r="O19" s="494">
        <f>'IBS Action Plan 20170131'!P19</f>
        <v>0</v>
      </c>
      <c r="P19" s="494">
        <f>'IBS Action Plan 20170131'!Q19</f>
        <v>0</v>
      </c>
      <c r="Q19" s="494">
        <f>'IBS Action Plan 20170131'!R19</f>
        <v>0</v>
      </c>
      <c r="R19" s="494">
        <f>'IBS Action Plan 20170131'!S19</f>
        <v>0</v>
      </c>
      <c r="S19" s="494">
        <f>'IBS Action Plan 20170131'!T19</f>
        <v>0</v>
      </c>
      <c r="T19" s="494">
        <f>'IBS Action Plan 20170131'!U19</f>
        <v>0</v>
      </c>
      <c r="U19" s="494">
        <f>'IBS Action Plan 20170131'!V19</f>
        <v>0</v>
      </c>
      <c r="V19" s="494">
        <f>'IBS Action Plan 20170131'!W19</f>
        <v>0</v>
      </c>
      <c r="W19" s="494">
        <f>'IBS Action Plan 20170131'!X19</f>
        <v>0</v>
      </c>
      <c r="X19" s="495">
        <f>'IBS Action Plan 20170131'!Y19</f>
        <v>0</v>
      </c>
      <c r="Y19" s="177">
        <f t="shared" si="0"/>
        <v>548</v>
      </c>
    </row>
    <row r="20" spans="1:25" x14ac:dyDescent="0.3">
      <c r="A20" s="733"/>
      <c r="B20" s="497" t="s">
        <v>72</v>
      </c>
      <c r="C20" s="163">
        <f>'IBS Action Plan 20170131'!C20</f>
        <v>0</v>
      </c>
      <c r="D20" s="163">
        <f>'IBS Action Plan 20170131'!D20</f>
        <v>0</v>
      </c>
      <c r="E20" s="163">
        <f>'IBS Action Plan 20170131'!E20</f>
        <v>0</v>
      </c>
      <c r="F20" s="163">
        <f>'IBS Action Plan 20170131'!F20</f>
        <v>0</v>
      </c>
      <c r="G20" s="163">
        <f>'IBS Action Plan 20170131'!G20</f>
        <v>0</v>
      </c>
      <c r="H20" s="163">
        <f>'IBS Action Plan 20170131'!H20</f>
        <v>0</v>
      </c>
      <c r="I20" s="163">
        <f>'IBS Action Plan 20170131'!I20</f>
        <v>0</v>
      </c>
      <c r="J20" s="163">
        <f>'IBS Action Plan 20170131'!J20</f>
        <v>383</v>
      </c>
      <c r="K20" s="163">
        <f>'IBS Action Plan 20170131'!K20</f>
        <v>190</v>
      </c>
      <c r="L20" s="163">
        <f>'IBS Action Plan 20170131'!L20</f>
        <v>193</v>
      </c>
      <c r="M20" s="163" t="str">
        <f>'IBS Action Plan 20170131'!N20</f>
        <v xml:space="preserve"> 2019-2022 </v>
      </c>
      <c r="N20" s="498"/>
      <c r="O20" s="494" t="str">
        <f>'IBS Action Plan 20170131'!P20</f>
        <v xml:space="preserve"> Economic </v>
      </c>
      <c r="P20" s="494">
        <f>'IBS Action Plan 20170131'!Q20</f>
        <v>0</v>
      </c>
      <c r="Q20" s="494">
        <f>'IBS Action Plan 20170131'!R20</f>
        <v>0</v>
      </c>
      <c r="R20" s="494">
        <f>'IBS Action Plan 20170131'!S20</f>
        <v>0</v>
      </c>
      <c r="S20" s="494">
        <f>'IBS Action Plan 20170131'!T20</f>
        <v>0</v>
      </c>
      <c r="T20" s="494">
        <f>'IBS Action Plan 20170131'!U20</f>
        <v>207</v>
      </c>
      <c r="U20" s="494">
        <f>'IBS Action Plan 20170131'!V20</f>
        <v>207</v>
      </c>
      <c r="V20" s="494">
        <f>'IBS Action Plan 20170131'!W20</f>
        <v>69</v>
      </c>
      <c r="W20" s="494">
        <f>'IBS Action Plan 20170131'!X20</f>
        <v>138</v>
      </c>
      <c r="X20" s="495" t="str">
        <f>'IBS Action Plan 20170131'!Y20</f>
        <v xml:space="preserve">Roads, isolated, practicality </v>
      </c>
      <c r="Y20" s="177">
        <f t="shared" si="0"/>
        <v>590</v>
      </c>
    </row>
    <row r="21" spans="1:25" x14ac:dyDescent="0.3">
      <c r="A21" s="733"/>
      <c r="B21" s="497" t="s">
        <v>73</v>
      </c>
      <c r="C21" s="163">
        <f>'IBS Action Plan 20170131'!C21</f>
        <v>0</v>
      </c>
      <c r="D21" s="163">
        <f>'IBS Action Plan 20170131'!D21</f>
        <v>0</v>
      </c>
      <c r="E21" s="163">
        <f>'IBS Action Plan 20170131'!E21</f>
        <v>0</v>
      </c>
      <c r="F21" s="163">
        <f>'IBS Action Plan 20170131'!F21</f>
        <v>184</v>
      </c>
      <c r="G21" s="163">
        <f>'IBS Action Plan 20170131'!G21</f>
        <v>184</v>
      </c>
      <c r="H21" s="163">
        <f>'IBS Action Plan 20170131'!H21</f>
        <v>92</v>
      </c>
      <c r="I21" s="163">
        <f>'IBS Action Plan 20170131'!I21</f>
        <v>0.5</v>
      </c>
      <c r="J21" s="163">
        <f>'IBS Action Plan 20170131'!J21</f>
        <v>900</v>
      </c>
      <c r="K21" s="163">
        <f>'IBS Action Plan 20170131'!K21</f>
        <v>39</v>
      </c>
      <c r="L21" s="163">
        <f>'IBS Action Plan 20170131'!L21</f>
        <v>1046</v>
      </c>
      <c r="M21" s="163" t="str">
        <f>'IBS Action Plan 20170131'!N21</f>
        <v xml:space="preserve"> 2017-2019 </v>
      </c>
      <c r="N21" s="498"/>
      <c r="O21" s="494">
        <f>'IBS Action Plan 20170131'!P21</f>
        <v>0</v>
      </c>
      <c r="P21" s="494">
        <f>'IBS Action Plan 20170131'!Q21</f>
        <v>0</v>
      </c>
      <c r="Q21" s="494">
        <f>'IBS Action Plan 20170131'!R21</f>
        <v>0</v>
      </c>
      <c r="R21" s="494">
        <f>'IBS Action Plan 20170131'!S21</f>
        <v>0</v>
      </c>
      <c r="S21" s="494">
        <f>'IBS Action Plan 20170131'!T21</f>
        <v>0</v>
      </c>
      <c r="T21" s="494">
        <f>'IBS Action Plan 20170131'!U21</f>
        <v>0</v>
      </c>
      <c r="U21" s="494">
        <f>'IBS Action Plan 20170131'!V21</f>
        <v>0</v>
      </c>
      <c r="V21" s="494">
        <f>'IBS Action Plan 20170131'!W21</f>
        <v>0</v>
      </c>
      <c r="W21" s="494">
        <f>'IBS Action Plan 20170131'!X21</f>
        <v>0</v>
      </c>
      <c r="X21" s="495">
        <f>'IBS Action Plan 20170131'!Y21</f>
        <v>0</v>
      </c>
      <c r="Y21" s="177">
        <f t="shared" si="0"/>
        <v>1084</v>
      </c>
    </row>
    <row r="22" spans="1:25" x14ac:dyDescent="0.3">
      <c r="A22" s="733"/>
      <c r="B22" s="497" t="s">
        <v>74</v>
      </c>
      <c r="C22" s="163">
        <f>'IBS Action Plan 20170131'!C22</f>
        <v>0</v>
      </c>
      <c r="D22" s="163">
        <f>'IBS Action Plan 20170131'!D22</f>
        <v>8</v>
      </c>
      <c r="E22" s="163">
        <f>'IBS Action Plan 20170131'!E22</f>
        <v>8</v>
      </c>
      <c r="F22" s="163">
        <f>'IBS Action Plan 20170131'!F22</f>
        <v>293</v>
      </c>
      <c r="G22" s="163">
        <f>'IBS Action Plan 20170131'!G22</f>
        <v>309</v>
      </c>
      <c r="H22" s="163">
        <f>'IBS Action Plan 20170131'!H22</f>
        <v>162.5</v>
      </c>
      <c r="I22" s="163">
        <f>'IBS Action Plan 20170131'!I22</f>
        <v>0.52588996763754048</v>
      </c>
      <c r="J22" s="163">
        <f>'IBS Action Plan 20170131'!J22</f>
        <v>226</v>
      </c>
      <c r="K22" s="163">
        <f>'IBS Action Plan 20170131'!K22</f>
        <v>41</v>
      </c>
      <c r="L22" s="163">
        <f>'IBS Action Plan 20170131'!L22</f>
        <v>495</v>
      </c>
      <c r="M22" s="163" t="str">
        <f>'IBS Action Plan 20170131'!N22</f>
        <v xml:space="preserve"> 2018-2020 </v>
      </c>
      <c r="N22" s="498"/>
      <c r="O22" s="494">
        <f>'IBS Action Plan 20170131'!P22</f>
        <v>0</v>
      </c>
      <c r="P22" s="494">
        <f>'IBS Action Plan 20170131'!Q22</f>
        <v>0</v>
      </c>
      <c r="Q22" s="494">
        <f>'IBS Action Plan 20170131'!R22</f>
        <v>0</v>
      </c>
      <c r="R22" s="494">
        <f>'IBS Action Plan 20170131'!S22</f>
        <v>0</v>
      </c>
      <c r="S22" s="494">
        <f>'IBS Action Plan 20170131'!T22</f>
        <v>0</v>
      </c>
      <c r="T22" s="494">
        <f>'IBS Action Plan 20170131'!U22</f>
        <v>0</v>
      </c>
      <c r="U22" s="494">
        <f>'IBS Action Plan 20170131'!V22</f>
        <v>0</v>
      </c>
      <c r="V22" s="494">
        <f>'IBS Action Plan 20170131'!W22</f>
        <v>0</v>
      </c>
      <c r="W22" s="494">
        <f>'IBS Action Plan 20170131'!X22</f>
        <v>0</v>
      </c>
      <c r="X22" s="495">
        <f>'IBS Action Plan 20170131'!Y22</f>
        <v>0</v>
      </c>
      <c r="Y22" s="434">
        <f t="shared" si="0"/>
        <v>535</v>
      </c>
    </row>
    <row r="23" spans="1:25" x14ac:dyDescent="0.3">
      <c r="A23" s="392" t="s">
        <v>14</v>
      </c>
      <c r="B23" s="496" t="s">
        <v>173</v>
      </c>
      <c r="C23" s="163">
        <f>'IBS Action Plan 20170131'!C23</f>
        <v>880</v>
      </c>
      <c r="D23" s="163">
        <f>'IBS Action Plan 20170131'!D23</f>
        <v>493</v>
      </c>
      <c r="E23" s="163">
        <f>'IBS Action Plan 20170131'!E23</f>
        <v>740</v>
      </c>
      <c r="F23" s="163">
        <f>'IBS Action Plan 20170131'!F23</f>
        <v>2149</v>
      </c>
      <c r="G23" s="163">
        <f>'IBS Action Plan 20170131'!G23</f>
        <v>4262</v>
      </c>
      <c r="H23" s="163">
        <f>'IBS Action Plan 20170131'!H23</f>
        <v>3187.5</v>
      </c>
      <c r="I23" s="163">
        <f>'IBS Action Plan 20170131'!I23</f>
        <v>0.74788831534490852</v>
      </c>
      <c r="J23" s="163">
        <f>'IBS Action Plan 20170131'!J23</f>
        <v>4396</v>
      </c>
      <c r="K23" s="163">
        <f>'IBS Action Plan 20170131'!K23</f>
        <v>837</v>
      </c>
      <c r="L23" s="163">
        <f>'IBS Action Plan 20170131'!L23</f>
        <v>7821</v>
      </c>
      <c r="M23" s="163">
        <f>'IBS Action Plan 20170131'!N23</f>
        <v>0</v>
      </c>
      <c r="N23" s="498"/>
      <c r="O23" s="494">
        <f>'IBS Action Plan 20170131'!P23</f>
        <v>0</v>
      </c>
      <c r="P23" s="494">
        <f>'IBS Action Plan 20170131'!Q23</f>
        <v>0</v>
      </c>
      <c r="Q23" s="494">
        <f>'IBS Action Plan 20170131'!R23</f>
        <v>0</v>
      </c>
      <c r="R23" s="494">
        <f>'IBS Action Plan 20170131'!S23</f>
        <v>17</v>
      </c>
      <c r="S23" s="494">
        <f>'IBS Action Plan 20170131'!T23</f>
        <v>20</v>
      </c>
      <c r="T23" s="494">
        <f>'IBS Action Plan 20170131'!U23</f>
        <v>264</v>
      </c>
      <c r="U23" s="494">
        <f>'IBS Action Plan 20170131'!V23</f>
        <v>301</v>
      </c>
      <c r="V23" s="494">
        <f>'IBS Action Plan 20170131'!W23</f>
        <v>72</v>
      </c>
      <c r="W23" s="494">
        <f>'IBS Action Plan 20170131'!X23</f>
        <v>229</v>
      </c>
      <c r="X23" s="495">
        <f>'IBS Action Plan 20170131'!Y23</f>
        <v>0</v>
      </c>
      <c r="Y23" s="435">
        <f t="shared" si="0"/>
        <v>8959</v>
      </c>
    </row>
    <row r="24" spans="1:25" x14ac:dyDescent="0.3">
      <c r="A24" s="734" t="s">
        <v>129</v>
      </c>
      <c r="B24" s="497" t="s">
        <v>20</v>
      </c>
      <c r="C24" s="163">
        <f>'IBS Action Plan 20170131'!C24</f>
        <v>1573.7891420000001</v>
      </c>
      <c r="D24" s="163">
        <f>'IBS Action Plan 20170131'!D24</f>
        <v>163.16569699999999</v>
      </c>
      <c r="E24" s="163">
        <f>'IBS Action Plan 20170131'!E24</f>
        <v>2418.411987</v>
      </c>
      <c r="F24" s="163">
        <f>'IBS Action Plan 20170131'!F24</f>
        <v>565.98814000000004</v>
      </c>
      <c r="G24" s="163">
        <f>'IBS Action Plan 20170131'!G24</f>
        <v>4721.3549659999999</v>
      </c>
      <c r="H24" s="163">
        <f>'IBS Action Plan 20170131'!H24</f>
        <v>4438.3608959999992</v>
      </c>
      <c r="I24" s="163">
        <f>'IBS Action Plan 20170131'!I24</f>
        <v>0.94006083591724576</v>
      </c>
      <c r="J24" s="163">
        <f>'IBS Action Plan 20170131'!J24</f>
        <v>343.88704300000001</v>
      </c>
      <c r="K24" s="163">
        <f>'IBS Action Plan 20170131'!K24</f>
        <v>811.97203400000001</v>
      </c>
      <c r="L24" s="163">
        <f>'IBS Action Plan 20170131'!L24</f>
        <v>4253.2699759999996</v>
      </c>
      <c r="M24" s="163" t="str">
        <f>'IBS Action Plan 20170131'!N24</f>
        <v>2016-2020</v>
      </c>
      <c r="N24" s="498"/>
      <c r="O24" s="494" t="str">
        <f>'IBS Action Plan 20170131'!P24</f>
        <v>Economic</v>
      </c>
      <c r="P24" s="494">
        <f>'IBS Action Plan 20170131'!Q24</f>
        <v>497.58506499999999</v>
      </c>
      <c r="Q24" s="494">
        <f>'IBS Action Plan 20170131'!R24</f>
        <v>143.29147399999999</v>
      </c>
      <c r="R24" s="494">
        <f>'IBS Action Plan 20170131'!S24</f>
        <v>862.97542999999996</v>
      </c>
      <c r="S24" s="494">
        <f>'IBS Action Plan 20170131'!T24</f>
        <v>157.714631</v>
      </c>
      <c r="T24" s="494">
        <f>'IBS Action Plan 20170131'!U24</f>
        <v>85.922109000000006</v>
      </c>
      <c r="U24" s="494">
        <f>'IBS Action Plan 20170131'!V24</f>
        <v>1747.488709</v>
      </c>
      <c r="V24" s="494">
        <f>'IBS Action Plan 20170131'!W24</f>
        <v>1747.4887080000001</v>
      </c>
      <c r="W24" s="494">
        <f>'IBS Action Plan 20170131'!X24</f>
        <v>0</v>
      </c>
      <c r="X24" s="495" t="str">
        <f>'IBS Action Plan 20170131'!Y24</f>
        <v>Road Access, practicality</v>
      </c>
      <c r="Y24" s="436">
        <f t="shared" si="0"/>
        <v>6812.7307179999998</v>
      </c>
    </row>
    <row r="25" spans="1:25" x14ac:dyDescent="0.3">
      <c r="A25" s="734"/>
      <c r="B25" s="500" t="s">
        <v>59</v>
      </c>
      <c r="C25" s="163">
        <f>'IBS Action Plan 20170131'!C25</f>
        <v>0</v>
      </c>
      <c r="D25" s="163">
        <f>'IBS Action Plan 20170131'!D25</f>
        <v>0</v>
      </c>
      <c r="E25" s="163">
        <f>'IBS Action Plan 20170131'!E25</f>
        <v>0</v>
      </c>
      <c r="F25" s="163">
        <f>'IBS Action Plan 20170131'!F25</f>
        <v>7.6005200000000004</v>
      </c>
      <c r="G25" s="163">
        <f>'IBS Action Plan 20170131'!G25</f>
        <v>7.6005200000000004</v>
      </c>
      <c r="H25" s="163">
        <f>'IBS Action Plan 20170131'!H25</f>
        <v>3.8002600000000002</v>
      </c>
      <c r="I25" s="163">
        <f>'IBS Action Plan 20170131'!I25</f>
        <v>0.5</v>
      </c>
      <c r="J25" s="163">
        <f>'IBS Action Plan 20170131'!J25</f>
        <v>668.43455600000004</v>
      </c>
      <c r="K25" s="163">
        <f>'IBS Action Plan 20170131'!K25</f>
        <v>26.118659999999998</v>
      </c>
      <c r="L25" s="163">
        <f>'IBS Action Plan 20170131'!L25</f>
        <v>650.04985599999998</v>
      </c>
      <c r="M25" s="163" t="str">
        <f>'IBS Action Plan 20170131'!N25</f>
        <v>2017-2018</v>
      </c>
      <c r="N25" s="498"/>
      <c r="O25" s="494" t="str">
        <f>'IBS Action Plan 20170131'!P25</f>
        <v>Economic</v>
      </c>
      <c r="P25" s="494">
        <f>'IBS Action Plan 20170131'!Q25</f>
        <v>0</v>
      </c>
      <c r="Q25" s="494">
        <f>'IBS Action Plan 20170131'!R25</f>
        <v>0</v>
      </c>
      <c r="R25" s="494">
        <f>'IBS Action Plan 20170131'!S25</f>
        <v>0</v>
      </c>
      <c r="S25" s="494">
        <f>'IBS Action Plan 20170131'!T25</f>
        <v>0</v>
      </c>
      <c r="T25" s="494">
        <f>'IBS Action Plan 20170131'!U25</f>
        <v>43.571154</v>
      </c>
      <c r="U25" s="494">
        <f>'IBS Action Plan 20170131'!V25</f>
        <v>43.571154</v>
      </c>
      <c r="V25" s="494">
        <f>'IBS Action Plan 20170131'!W25</f>
        <v>43.571154</v>
      </c>
      <c r="W25" s="494">
        <f>'IBS Action Plan 20170131'!X25</f>
        <v>0</v>
      </c>
      <c r="X25" s="495" t="str">
        <f>'IBS Action Plan 20170131'!Y25</f>
        <v>Road Access, practicality</v>
      </c>
      <c r="Y25" s="177">
        <f t="shared" si="0"/>
        <v>719.60622999999998</v>
      </c>
    </row>
    <row r="26" spans="1:25" x14ac:dyDescent="0.3">
      <c r="A26" s="734"/>
      <c r="B26" s="500" t="s">
        <v>61</v>
      </c>
      <c r="C26" s="163">
        <f>'IBS Action Plan 20170131'!C26</f>
        <v>0</v>
      </c>
      <c r="D26" s="163">
        <f>'IBS Action Plan 20170131'!D26</f>
        <v>0</v>
      </c>
      <c r="E26" s="163">
        <f>'IBS Action Plan 20170131'!E26</f>
        <v>0</v>
      </c>
      <c r="F26" s="163">
        <f>'IBS Action Plan 20170131'!F26</f>
        <v>0</v>
      </c>
      <c r="G26" s="163">
        <f>'IBS Action Plan 20170131'!G26</f>
        <v>0</v>
      </c>
      <c r="H26" s="163">
        <f>'IBS Action Plan 20170131'!H26</f>
        <v>0</v>
      </c>
      <c r="I26" s="163">
        <f>'IBS Action Plan 20170131'!I26</f>
        <v>0</v>
      </c>
      <c r="J26" s="163">
        <f>'IBS Action Plan 20170131'!J26</f>
        <v>64.410450999999995</v>
      </c>
      <c r="K26" s="163">
        <f>'IBS Action Plan 20170131'!K26</f>
        <v>0</v>
      </c>
      <c r="L26" s="163">
        <f>'IBS Action Plan 20170131'!L26</f>
        <v>64.277010000000004</v>
      </c>
      <c r="M26" s="163">
        <f>'IBS Action Plan 20170131'!N26</f>
        <v>2017</v>
      </c>
      <c r="N26" s="498"/>
      <c r="O26" s="494" t="str">
        <f>'IBS Action Plan 20170131'!P26</f>
        <v>Economic</v>
      </c>
      <c r="P26" s="494">
        <f>'IBS Action Plan 20170131'!Q26</f>
        <v>86.873819999999995</v>
      </c>
      <c r="Q26" s="494">
        <f>'IBS Action Plan 20170131'!R26</f>
        <v>0</v>
      </c>
      <c r="R26" s="494">
        <f>'IBS Action Plan 20170131'!S26</f>
        <v>31.200416000000001</v>
      </c>
      <c r="S26" s="494">
        <f>'IBS Action Plan 20170131'!T26</f>
        <v>0</v>
      </c>
      <c r="T26" s="494">
        <f>'IBS Action Plan 20170131'!U26</f>
        <v>11.304932000000001</v>
      </c>
      <c r="U26" s="494">
        <f>'IBS Action Plan 20170131'!V26</f>
        <v>129.37916799999999</v>
      </c>
      <c r="V26" s="494">
        <f>'IBS Action Plan 20170131'!W26</f>
        <v>129.37916799999999</v>
      </c>
      <c r="W26" s="494">
        <f>'IBS Action Plan 20170131'!X26</f>
        <v>0</v>
      </c>
      <c r="X26" s="495" t="str">
        <f>'IBS Action Plan 20170131'!Y26</f>
        <v>Road Access, practicality</v>
      </c>
      <c r="Y26" s="110">
        <f t="shared" si="0"/>
        <v>193.78961899999999</v>
      </c>
    </row>
    <row r="27" spans="1:25" ht="15" thickBot="1" x14ac:dyDescent="0.35">
      <c r="A27" s="392" t="s">
        <v>14</v>
      </c>
      <c r="B27" s="496" t="s">
        <v>171</v>
      </c>
      <c r="C27" s="163">
        <f>'IBS Action Plan 20170131'!C27</f>
        <v>1573.7891420000001</v>
      </c>
      <c r="D27" s="163">
        <f>'IBS Action Plan 20170131'!D27</f>
        <v>163.16569699999999</v>
      </c>
      <c r="E27" s="163">
        <f>'IBS Action Plan 20170131'!E27</f>
        <v>2418.411987</v>
      </c>
      <c r="F27" s="163">
        <f>'IBS Action Plan 20170131'!F27</f>
        <v>573.58866</v>
      </c>
      <c r="G27" s="163">
        <f>'IBS Action Plan 20170131'!G27</f>
        <v>4728.9554859999998</v>
      </c>
      <c r="H27" s="163">
        <f>'IBS Action Plan 20170131'!H27</f>
        <v>4442.1611559999992</v>
      </c>
      <c r="I27" s="163">
        <f>'IBS Action Plan 20170131'!I27</f>
        <v>0.93935355685858091</v>
      </c>
      <c r="J27" s="163">
        <f>'IBS Action Plan 20170131'!J27</f>
        <v>1076.7320500000001</v>
      </c>
      <c r="K27" s="163">
        <f>'IBS Action Plan 20170131'!K27</f>
        <v>838.09069399999998</v>
      </c>
      <c r="L27" s="163">
        <f>'IBS Action Plan 20170131'!L27</f>
        <v>4967.596841999999</v>
      </c>
      <c r="M27" s="163">
        <f>'IBS Action Plan 20170131'!N27</f>
        <v>0</v>
      </c>
      <c r="N27" s="498"/>
      <c r="O27" s="494">
        <f>'IBS Action Plan 20170131'!P27</f>
        <v>0</v>
      </c>
      <c r="P27" s="494">
        <f>'IBS Action Plan 20170131'!Q27</f>
        <v>584.45888500000001</v>
      </c>
      <c r="Q27" s="494">
        <f>'IBS Action Plan 20170131'!R27</f>
        <v>143.29147399999999</v>
      </c>
      <c r="R27" s="494">
        <f>'IBS Action Plan 20170131'!S27</f>
        <v>894.17584599999998</v>
      </c>
      <c r="S27" s="494">
        <f>'IBS Action Plan 20170131'!T27</f>
        <v>157.714631</v>
      </c>
      <c r="T27" s="494">
        <f>'IBS Action Plan 20170131'!U27</f>
        <v>140.79819500000002</v>
      </c>
      <c r="U27" s="494">
        <f>'IBS Action Plan 20170131'!V27</f>
        <v>1920.4390309999999</v>
      </c>
      <c r="V27" s="494">
        <f>'IBS Action Plan 20170131'!W27</f>
        <v>1920.43903</v>
      </c>
      <c r="W27" s="494">
        <f>'IBS Action Plan 20170131'!X27</f>
        <v>0</v>
      </c>
      <c r="X27" s="495">
        <f>'IBS Action Plan 20170131'!Y27</f>
        <v>0</v>
      </c>
      <c r="Y27" s="273">
        <f t="shared" si="0"/>
        <v>7726.1265669999993</v>
      </c>
    </row>
    <row r="28" spans="1:25" ht="15" thickBot="1" x14ac:dyDescent="0.35">
      <c r="A28" s="501" t="s">
        <v>7</v>
      </c>
      <c r="B28" s="502" t="s">
        <v>130</v>
      </c>
      <c r="C28" s="163">
        <f>'IBS Action Plan 20170131'!C28</f>
        <v>2453.7891420000001</v>
      </c>
      <c r="D28" s="163">
        <f>'IBS Action Plan 20170131'!D28</f>
        <v>1367.1656969999999</v>
      </c>
      <c r="E28" s="163">
        <f>'IBS Action Plan 20170131'!E28</f>
        <v>9555.4119869999995</v>
      </c>
      <c r="F28" s="163">
        <f>'IBS Action Plan 20170131'!F28</f>
        <v>11610.588659999999</v>
      </c>
      <c r="G28" s="163">
        <f>'IBS Action Plan 20170131'!G28</f>
        <v>24986.955485999999</v>
      </c>
      <c r="H28" s="163">
        <f>'IBS Action Plan 20170131'!H28</f>
        <v>19181.661155999998</v>
      </c>
      <c r="I28" s="163">
        <f>'IBS Action Plan 20170131'!I28</f>
        <v>0.76766699995713117</v>
      </c>
      <c r="J28" s="163">
        <f>'IBS Action Plan 20170131'!J28</f>
        <v>14050.732050000001</v>
      </c>
      <c r="K28" s="163">
        <f>'IBS Action Plan 20170131'!K28</f>
        <v>6476.0906940000004</v>
      </c>
      <c r="L28" s="163">
        <f>'IBS Action Plan 20170131'!L28</f>
        <v>32561.596841999999</v>
      </c>
      <c r="M28" s="163">
        <f>'IBS Action Plan 20170131'!N28</f>
        <v>0</v>
      </c>
      <c r="N28" s="498"/>
      <c r="O28" s="494">
        <f>'IBS Action Plan 20170131'!P28</f>
        <v>0</v>
      </c>
      <c r="P28" s="494">
        <f>'IBS Action Plan 20170131'!Q28</f>
        <v>584.45888500000001</v>
      </c>
      <c r="Q28" s="494">
        <f>'IBS Action Plan 20170131'!R28</f>
        <v>143.29147399999999</v>
      </c>
      <c r="R28" s="494">
        <f>'IBS Action Plan 20170131'!S28</f>
        <v>10911.175846</v>
      </c>
      <c r="S28" s="494">
        <f>'IBS Action Plan 20170131'!T28</f>
        <v>5757.7146309999998</v>
      </c>
      <c r="T28" s="494">
        <f>'IBS Action Plan 20170131'!U28</f>
        <v>5597.7981950000003</v>
      </c>
      <c r="U28" s="494">
        <f>'IBS Action Plan 20170131'!V28</f>
        <v>22994.439031000002</v>
      </c>
      <c r="V28" s="494">
        <f>'IBS Action Plan 20170131'!W28</f>
        <v>10301.63903</v>
      </c>
      <c r="W28" s="494">
        <f>'IBS Action Plan 20170131'!X28</f>
        <v>12692.8</v>
      </c>
      <c r="X28" s="495">
        <f>'IBS Action Plan 20170131'!Y28</f>
        <v>0</v>
      </c>
      <c r="Y28" s="109">
        <f t="shared" si="0"/>
        <v>62032.126566999999</v>
      </c>
    </row>
    <row r="29" spans="1:25" ht="15" thickBot="1" x14ac:dyDescent="0.35">
      <c r="A29" s="501"/>
      <c r="B29" s="502" t="s">
        <v>190</v>
      </c>
      <c r="C29" s="163">
        <f>'IBS Action Plan 20170131'!C29</f>
        <v>674792.01405</v>
      </c>
      <c r="D29" s="163">
        <f>'IBS Action Plan 20170131'!D29</f>
        <v>375970.56667499995</v>
      </c>
      <c r="E29" s="163">
        <f>'IBS Action Plan 20170131'!E29</f>
        <v>2627738.2964249998</v>
      </c>
      <c r="F29" s="163">
        <f>'IBS Action Plan 20170131'!F29</f>
        <v>3192911.8814999997</v>
      </c>
      <c r="G29" s="163">
        <f>'IBS Action Plan 20170131'!G29</f>
        <v>6871412.7586499993</v>
      </c>
      <c r="H29" s="163">
        <f>'IBS Action Plan 20170131'!H29</f>
        <v>5274956.8178999992</v>
      </c>
      <c r="I29" s="163">
        <f>'IBS Action Plan 20170131'!I29</f>
        <v>0</v>
      </c>
      <c r="J29" s="163">
        <f>'IBS Action Plan 20170131'!J29</f>
        <v>0</v>
      </c>
      <c r="K29" s="163">
        <f>'IBS Action Plan 20170131'!K29</f>
        <v>0</v>
      </c>
      <c r="L29" s="163">
        <f>'IBS Action Plan 20170131'!L29</f>
        <v>0</v>
      </c>
      <c r="M29" s="163">
        <f>'IBS Action Plan 20170131'!N29</f>
        <v>0</v>
      </c>
      <c r="N29" s="498"/>
      <c r="O29" s="494">
        <f>'IBS Action Plan 20170131'!P29</f>
        <v>0</v>
      </c>
      <c r="P29" s="494">
        <f>'IBS Action Plan 20170131'!Q29</f>
        <v>0</v>
      </c>
      <c r="Q29" s="494">
        <f>'IBS Action Plan 20170131'!R29</f>
        <v>0</v>
      </c>
      <c r="R29" s="494">
        <f>'IBS Action Plan 20170131'!S29</f>
        <v>0</v>
      </c>
      <c r="S29" s="494">
        <f>'IBS Action Plan 20170131'!T29</f>
        <v>0</v>
      </c>
      <c r="T29" s="494">
        <f>'IBS Action Plan 20170131'!U29</f>
        <v>0</v>
      </c>
      <c r="U29" s="494">
        <f>'IBS Action Plan 20170131'!V29</f>
        <v>0</v>
      </c>
      <c r="V29" s="494">
        <f>'IBS Action Plan 20170131'!W29</f>
        <v>0</v>
      </c>
      <c r="W29" s="494">
        <f>'IBS Action Plan 20170131'!X29</f>
        <v>0</v>
      </c>
      <c r="X29" s="495">
        <f>'IBS Action Plan 20170131'!Y29</f>
        <v>0</v>
      </c>
      <c r="Y29" s="109">
        <f t="shared" si="0"/>
        <v>6871412.7586499993</v>
      </c>
    </row>
    <row r="30" spans="1:25" x14ac:dyDescent="0.3">
      <c r="A30" s="724" t="s">
        <v>89</v>
      </c>
      <c r="B30" s="497" t="s">
        <v>22</v>
      </c>
      <c r="C30" s="163">
        <f>'IBS Action Plan 20170131'!C30</f>
        <v>0</v>
      </c>
      <c r="D30" s="163">
        <f>'IBS Action Plan 20170131'!D30</f>
        <v>27</v>
      </c>
      <c r="E30" s="163">
        <f>'IBS Action Plan 20170131'!E30</f>
        <v>0</v>
      </c>
      <c r="F30" s="163">
        <f>'IBS Action Plan 20170131'!F30</f>
        <v>43</v>
      </c>
      <c r="G30" s="163">
        <f>'IBS Action Plan 20170131'!G30</f>
        <v>70</v>
      </c>
      <c r="H30" s="163">
        <f>'IBS Action Plan 20170131'!H30</f>
        <v>48.5</v>
      </c>
      <c r="I30" s="163">
        <f>'IBS Action Plan 20170131'!I30</f>
        <v>0.69285714285714284</v>
      </c>
      <c r="J30" s="163">
        <f>'IBS Action Plan 20170131'!J30</f>
        <v>94</v>
      </c>
      <c r="K30" s="163">
        <f>'IBS Action Plan 20170131'!K30</f>
        <v>1</v>
      </c>
      <c r="L30" s="163">
        <f>'IBS Action Plan 20170131'!L30</f>
        <v>163</v>
      </c>
      <c r="M30" s="163" t="str">
        <f>'IBS Action Plan 20170131'!N30</f>
        <v xml:space="preserve"> 2018 - 19  </v>
      </c>
      <c r="N30" s="493"/>
      <c r="O30" s="494">
        <f>'IBS Action Plan 20170131'!P30</f>
        <v>0</v>
      </c>
      <c r="P30" s="494">
        <f>'IBS Action Plan 20170131'!Q30</f>
        <v>0</v>
      </c>
      <c r="Q30" s="494">
        <f>'IBS Action Plan 20170131'!R30</f>
        <v>0</v>
      </c>
      <c r="R30" s="494">
        <f>'IBS Action Plan 20170131'!S30</f>
        <v>0</v>
      </c>
      <c r="S30" s="494">
        <f>'IBS Action Plan 20170131'!T30</f>
        <v>0</v>
      </c>
      <c r="T30" s="494">
        <f>'IBS Action Plan 20170131'!U30</f>
        <v>0</v>
      </c>
      <c r="U30" s="494">
        <f>'IBS Action Plan 20170131'!V30</f>
        <v>0</v>
      </c>
      <c r="V30" s="494">
        <f>'IBS Action Plan 20170131'!W30</f>
        <v>0</v>
      </c>
      <c r="W30" s="494">
        <f>'IBS Action Plan 20170131'!X30</f>
        <v>0</v>
      </c>
      <c r="X30" s="495">
        <f>'IBS Action Plan 20170131'!Y30</f>
        <v>0</v>
      </c>
      <c r="Y30" s="433">
        <f t="shared" si="0"/>
        <v>164</v>
      </c>
    </row>
    <row r="31" spans="1:25" x14ac:dyDescent="0.3">
      <c r="A31" s="735"/>
      <c r="B31" s="503" t="s">
        <v>120</v>
      </c>
      <c r="C31" s="163">
        <f>'IBS Action Plan 20170131'!C31</f>
        <v>0</v>
      </c>
      <c r="D31" s="163">
        <f>'IBS Action Plan 20170131'!D31</f>
        <v>0</v>
      </c>
      <c r="E31" s="163">
        <f>'IBS Action Plan 20170131'!E31</f>
        <v>0</v>
      </c>
      <c r="F31" s="163">
        <f>'IBS Action Plan 20170131'!F31</f>
        <v>55</v>
      </c>
      <c r="G31" s="163">
        <f>'IBS Action Plan 20170131'!G31</f>
        <v>55</v>
      </c>
      <c r="H31" s="163">
        <f>'IBS Action Plan 20170131'!H31</f>
        <v>27.5</v>
      </c>
      <c r="I31" s="163">
        <f>'IBS Action Plan 20170131'!I31</f>
        <v>0.5</v>
      </c>
      <c r="J31" s="163">
        <f>'IBS Action Plan 20170131'!J31</f>
        <v>34</v>
      </c>
      <c r="K31" s="163" t="str">
        <f>'IBS Action Plan 20170131'!K31</f>
        <v xml:space="preserve">             -  </v>
      </c>
      <c r="L31" s="163">
        <f>'IBS Action Plan 20170131'!L31</f>
        <v>89</v>
      </c>
      <c r="M31" s="163" t="str">
        <f>'IBS Action Plan 20170131'!N31</f>
        <v xml:space="preserve"> 2019 - 20  </v>
      </c>
      <c r="N31" s="493"/>
      <c r="O31" s="494">
        <f>'IBS Action Plan 20170131'!P31</f>
        <v>0</v>
      </c>
      <c r="P31" s="494">
        <f>'IBS Action Plan 20170131'!Q31</f>
        <v>0</v>
      </c>
      <c r="Q31" s="494">
        <f>'IBS Action Plan 20170131'!R31</f>
        <v>0</v>
      </c>
      <c r="R31" s="494">
        <f>'IBS Action Plan 20170131'!S31</f>
        <v>0</v>
      </c>
      <c r="S31" s="494">
        <f>'IBS Action Plan 20170131'!T31</f>
        <v>0</v>
      </c>
      <c r="T31" s="494">
        <f>'IBS Action Plan 20170131'!U31</f>
        <v>0</v>
      </c>
      <c r="U31" s="494">
        <f>'IBS Action Plan 20170131'!V31</f>
        <v>0</v>
      </c>
      <c r="V31" s="494">
        <f>'IBS Action Plan 20170131'!W31</f>
        <v>0</v>
      </c>
      <c r="W31" s="494">
        <f>'IBS Action Plan 20170131'!X31</f>
        <v>0</v>
      </c>
      <c r="X31" s="495">
        <f>'IBS Action Plan 20170131'!Y31</f>
        <v>0</v>
      </c>
      <c r="Y31" s="177">
        <f t="shared" si="0"/>
        <v>89</v>
      </c>
    </row>
    <row r="32" spans="1:25" x14ac:dyDescent="0.3">
      <c r="A32" s="735"/>
      <c r="B32" s="503" t="s">
        <v>121</v>
      </c>
      <c r="C32" s="163">
        <f>'IBS Action Plan 20170131'!C32</f>
        <v>0</v>
      </c>
      <c r="D32" s="163">
        <f>'IBS Action Plan 20170131'!D32</f>
        <v>8</v>
      </c>
      <c r="E32" s="163">
        <f>'IBS Action Plan 20170131'!E32</f>
        <v>268</v>
      </c>
      <c r="F32" s="163">
        <f>'IBS Action Plan 20170131'!F32</f>
        <v>2160</v>
      </c>
      <c r="G32" s="163">
        <f>'IBS Action Plan 20170131'!G32</f>
        <v>2436</v>
      </c>
      <c r="H32" s="163">
        <f>'IBS Action Plan 20170131'!H32</f>
        <v>1356</v>
      </c>
      <c r="I32" s="163">
        <f>'IBS Action Plan 20170131'!I32</f>
        <v>0.55665024630541871</v>
      </c>
      <c r="J32" s="163">
        <f>'IBS Action Plan 20170131'!J32</f>
        <v>542</v>
      </c>
      <c r="K32" s="163">
        <f>'IBS Action Plan 20170131'!K32</f>
        <v>285</v>
      </c>
      <c r="L32" s="163">
        <f>'IBS Action Plan 20170131'!L32</f>
        <v>2692</v>
      </c>
      <c r="M32" s="163" t="str">
        <f>'IBS Action Plan 20170131'!N32</f>
        <v xml:space="preserve"> 2017 - 18  </v>
      </c>
      <c r="N32" s="493"/>
      <c r="O32" s="494" t="str">
        <f>'IBS Action Plan 20170131'!P32</f>
        <v>Economic</v>
      </c>
      <c r="P32" s="494">
        <f>'IBS Action Plan 20170131'!Q32</f>
        <v>0</v>
      </c>
      <c r="Q32" s="494">
        <f>'IBS Action Plan 20170131'!R32</f>
        <v>0</v>
      </c>
      <c r="R32" s="494">
        <f>'IBS Action Plan 20170131'!S32</f>
        <v>0</v>
      </c>
      <c r="S32" s="494">
        <f>'IBS Action Plan 20170131'!T32</f>
        <v>0</v>
      </c>
      <c r="T32" s="494">
        <f>'IBS Action Plan 20170131'!U32</f>
        <v>28</v>
      </c>
      <c r="U32" s="494">
        <f>'IBS Action Plan 20170131'!V32</f>
        <v>28</v>
      </c>
      <c r="V32" s="494">
        <f>'IBS Action Plan 20170131'!W32</f>
        <v>11.200000000000001</v>
      </c>
      <c r="W32" s="494">
        <f>'IBS Action Plan 20170131'!X32</f>
        <v>16.8</v>
      </c>
      <c r="X32" s="495" t="str">
        <f>'IBS Action Plan 20170131'!Y32</f>
        <v xml:space="preserve">Isolated </v>
      </c>
      <c r="Y32" s="177">
        <f t="shared" si="0"/>
        <v>3006</v>
      </c>
    </row>
    <row r="33" spans="1:25" x14ac:dyDescent="0.3">
      <c r="A33" s="735"/>
      <c r="B33" s="503" t="s">
        <v>122</v>
      </c>
      <c r="C33" s="163">
        <f>'IBS Action Plan 20170131'!C33</f>
        <v>0</v>
      </c>
      <c r="D33" s="163">
        <f>'IBS Action Plan 20170131'!D33</f>
        <v>0</v>
      </c>
      <c r="E33" s="163">
        <f>'IBS Action Plan 20170131'!E33</f>
        <v>0</v>
      </c>
      <c r="F33" s="163">
        <f>'IBS Action Plan 20170131'!F33</f>
        <v>0</v>
      </c>
      <c r="G33" s="163">
        <f>'IBS Action Plan 20170131'!G33</f>
        <v>0</v>
      </c>
      <c r="H33" s="163">
        <f>'IBS Action Plan 20170131'!H33</f>
        <v>0</v>
      </c>
      <c r="I33" s="163">
        <f>'IBS Action Plan 20170131'!I33</f>
        <v>0</v>
      </c>
      <c r="J33" s="163">
        <f>'IBS Action Plan 20170131'!J33</f>
        <v>0</v>
      </c>
      <c r="K33" s="163" t="str">
        <f>'IBS Action Plan 20170131'!K33</f>
        <v xml:space="preserve">             -  </v>
      </c>
      <c r="L33" s="163" t="str">
        <f>'IBS Action Plan 20170131'!L33</f>
        <v xml:space="preserve">                    -  </v>
      </c>
      <c r="M33" s="163">
        <f>'IBS Action Plan 20170131'!N33</f>
        <v>0</v>
      </c>
      <c r="N33" s="493"/>
      <c r="O33" s="494" t="str">
        <f>'IBS Action Plan 20170131'!P33</f>
        <v>Economic</v>
      </c>
      <c r="P33" s="494">
        <f>'IBS Action Plan 20170131'!Q33</f>
        <v>0</v>
      </c>
      <c r="Q33" s="494">
        <f>'IBS Action Plan 20170131'!R33</f>
        <v>0</v>
      </c>
      <c r="R33" s="494">
        <f>'IBS Action Plan 20170131'!S33</f>
        <v>0</v>
      </c>
      <c r="S33" s="494">
        <f>'IBS Action Plan 20170131'!T33</f>
        <v>0</v>
      </c>
      <c r="T33" s="494">
        <f>'IBS Action Plan 20170131'!U33</f>
        <v>70</v>
      </c>
      <c r="U33" s="494">
        <f>'IBS Action Plan 20170131'!V33</f>
        <v>70</v>
      </c>
      <c r="V33" s="494">
        <f>'IBS Action Plan 20170131'!W33</f>
        <v>28</v>
      </c>
      <c r="W33" s="494">
        <f>'IBS Action Plan 20170131'!X33</f>
        <v>42</v>
      </c>
      <c r="X33" s="495" t="str">
        <f>'IBS Action Plan 20170131'!Y33</f>
        <v xml:space="preserve">Isolated </v>
      </c>
      <c r="Y33" s="177">
        <f t="shared" si="0"/>
        <v>70</v>
      </c>
    </row>
    <row r="34" spans="1:25" x14ac:dyDescent="0.3">
      <c r="A34" s="735"/>
      <c r="B34" s="503" t="s">
        <v>123</v>
      </c>
      <c r="C34" s="163">
        <f>'IBS Action Plan 20170131'!C34</f>
        <v>0</v>
      </c>
      <c r="D34" s="163">
        <f>'IBS Action Plan 20170131'!D34</f>
        <v>92</v>
      </c>
      <c r="E34" s="163">
        <f>'IBS Action Plan 20170131'!E34</f>
        <v>69</v>
      </c>
      <c r="F34" s="163">
        <f>'IBS Action Plan 20170131'!F34</f>
        <v>627</v>
      </c>
      <c r="G34" s="163">
        <f>'IBS Action Plan 20170131'!G34</f>
        <v>788</v>
      </c>
      <c r="H34" s="163">
        <f>'IBS Action Plan 20170131'!H34</f>
        <v>474.5</v>
      </c>
      <c r="I34" s="163">
        <f>'IBS Action Plan 20170131'!I34</f>
        <v>0.60215736040609136</v>
      </c>
      <c r="J34" s="163">
        <f>'IBS Action Plan 20170131'!J34</f>
        <v>324</v>
      </c>
      <c r="K34" s="163">
        <f>'IBS Action Plan 20170131'!K34</f>
        <v>13</v>
      </c>
      <c r="L34" s="163">
        <f>'IBS Action Plan 20170131'!L34</f>
        <v>1099</v>
      </c>
      <c r="M34" s="163" t="str">
        <f>'IBS Action Plan 20170131'!N34</f>
        <v xml:space="preserve"> 2019 - 20 </v>
      </c>
      <c r="N34" s="493"/>
      <c r="O34" s="494">
        <f>'IBS Action Plan 20170131'!P34</f>
        <v>0</v>
      </c>
      <c r="P34" s="494">
        <f>'IBS Action Plan 20170131'!Q34</f>
        <v>0</v>
      </c>
      <c r="Q34" s="494">
        <f>'IBS Action Plan 20170131'!R34</f>
        <v>0</v>
      </c>
      <c r="R34" s="494">
        <f>'IBS Action Plan 20170131'!S34</f>
        <v>0</v>
      </c>
      <c r="S34" s="494">
        <f>'IBS Action Plan 20170131'!T34</f>
        <v>0</v>
      </c>
      <c r="T34" s="494">
        <f>'IBS Action Plan 20170131'!U34</f>
        <v>0</v>
      </c>
      <c r="U34" s="494">
        <f>'IBS Action Plan 20170131'!V34</f>
        <v>0</v>
      </c>
      <c r="V34" s="494">
        <f>'IBS Action Plan 20170131'!W34</f>
        <v>0</v>
      </c>
      <c r="W34" s="494">
        <f>'IBS Action Plan 20170131'!X34</f>
        <v>0</v>
      </c>
      <c r="X34" s="495">
        <f>'IBS Action Plan 20170131'!Y34</f>
        <v>0</v>
      </c>
      <c r="Y34" s="177">
        <f t="shared" si="0"/>
        <v>1112</v>
      </c>
    </row>
    <row r="35" spans="1:25" x14ac:dyDescent="0.3">
      <c r="A35" s="735"/>
      <c r="B35" s="503" t="s">
        <v>124</v>
      </c>
      <c r="C35" s="163">
        <f>'IBS Action Plan 20170131'!C35</f>
        <v>0</v>
      </c>
      <c r="D35" s="163">
        <f>'IBS Action Plan 20170131'!D35</f>
        <v>17</v>
      </c>
      <c r="E35" s="163">
        <f>'IBS Action Plan 20170131'!E35</f>
        <v>1023</v>
      </c>
      <c r="F35" s="163">
        <f>'IBS Action Plan 20170131'!F35</f>
        <v>2950</v>
      </c>
      <c r="G35" s="163">
        <f>'IBS Action Plan 20170131'!G35</f>
        <v>3990</v>
      </c>
      <c r="H35" s="163">
        <f>'IBS Action Plan 20170131'!H35</f>
        <v>2515</v>
      </c>
      <c r="I35" s="163">
        <f>'IBS Action Plan 20170131'!I35</f>
        <v>0.63032581453634084</v>
      </c>
      <c r="J35" s="163">
        <f>'IBS Action Plan 20170131'!J35</f>
        <v>299</v>
      </c>
      <c r="K35" s="163">
        <f>'IBS Action Plan 20170131'!K35</f>
        <v>1822</v>
      </c>
      <c r="L35" s="163">
        <f>'IBS Action Plan 20170131'!L35</f>
        <v>2468</v>
      </c>
      <c r="M35" s="163" t="str">
        <f>'IBS Action Plan 20170131'!N35</f>
        <v xml:space="preserve"> 2018 - 19  </v>
      </c>
      <c r="N35" s="493"/>
      <c r="O35" s="494">
        <f>'IBS Action Plan 20170131'!P35</f>
        <v>0</v>
      </c>
      <c r="P35" s="494">
        <f>'IBS Action Plan 20170131'!Q35</f>
        <v>0</v>
      </c>
      <c r="Q35" s="494">
        <f>'IBS Action Plan 20170131'!R35</f>
        <v>0</v>
      </c>
      <c r="R35" s="494">
        <f>'IBS Action Plan 20170131'!S35</f>
        <v>0</v>
      </c>
      <c r="S35" s="494">
        <f>'IBS Action Plan 20170131'!T35</f>
        <v>0</v>
      </c>
      <c r="T35" s="494">
        <f>'IBS Action Plan 20170131'!U35</f>
        <v>0</v>
      </c>
      <c r="U35" s="494">
        <f>'IBS Action Plan 20170131'!V35</f>
        <v>0</v>
      </c>
      <c r="V35" s="494">
        <f>'IBS Action Plan 20170131'!W35</f>
        <v>0</v>
      </c>
      <c r="W35" s="494">
        <f>'IBS Action Plan 20170131'!X35</f>
        <v>0</v>
      </c>
      <c r="X35" s="495">
        <f>'IBS Action Plan 20170131'!Y35</f>
        <v>0</v>
      </c>
      <c r="Y35" s="177">
        <f t="shared" si="0"/>
        <v>4289</v>
      </c>
    </row>
    <row r="36" spans="1:25" x14ac:dyDescent="0.3">
      <c r="A36" s="735"/>
      <c r="B36" s="503" t="s">
        <v>125</v>
      </c>
      <c r="C36" s="163">
        <f>'IBS Action Plan 20170131'!C36</f>
        <v>0</v>
      </c>
      <c r="D36" s="163">
        <f>'IBS Action Plan 20170131'!D36</f>
        <v>0</v>
      </c>
      <c r="E36" s="163">
        <f>'IBS Action Plan 20170131'!E36</f>
        <v>109</v>
      </c>
      <c r="F36" s="163">
        <f>'IBS Action Plan 20170131'!F36</f>
        <v>1313</v>
      </c>
      <c r="G36" s="163">
        <f>'IBS Action Plan 20170131'!G36</f>
        <v>1422</v>
      </c>
      <c r="H36" s="163">
        <f>'IBS Action Plan 20170131'!H36</f>
        <v>765.5</v>
      </c>
      <c r="I36" s="163">
        <f>'IBS Action Plan 20170131'!I36</f>
        <v>0.53832630098452883</v>
      </c>
      <c r="J36" s="163">
        <f>'IBS Action Plan 20170131'!J36</f>
        <v>504</v>
      </c>
      <c r="K36" s="163">
        <f>'IBS Action Plan 20170131'!K36</f>
        <v>132</v>
      </c>
      <c r="L36" s="163">
        <f>'IBS Action Plan 20170131'!L36</f>
        <v>1795</v>
      </c>
      <c r="M36" s="163" t="str">
        <f>'IBS Action Plan 20170131'!N36</f>
        <v xml:space="preserve"> 2021 - 22  </v>
      </c>
      <c r="N36" s="493"/>
      <c r="O36" s="494">
        <f>'IBS Action Plan 20170131'!P36</f>
        <v>0</v>
      </c>
      <c r="P36" s="494">
        <f>'IBS Action Plan 20170131'!Q36</f>
        <v>0</v>
      </c>
      <c r="Q36" s="494">
        <f>'IBS Action Plan 20170131'!R36</f>
        <v>0</v>
      </c>
      <c r="R36" s="494">
        <f>'IBS Action Plan 20170131'!S36</f>
        <v>0</v>
      </c>
      <c r="S36" s="494">
        <f>'IBS Action Plan 20170131'!T36</f>
        <v>0</v>
      </c>
      <c r="T36" s="494">
        <f>'IBS Action Plan 20170131'!U36</f>
        <v>0</v>
      </c>
      <c r="U36" s="494">
        <f>'IBS Action Plan 20170131'!V36</f>
        <v>0</v>
      </c>
      <c r="V36" s="494">
        <f>'IBS Action Plan 20170131'!W36</f>
        <v>0</v>
      </c>
      <c r="W36" s="494">
        <f>'IBS Action Plan 20170131'!X36</f>
        <v>0</v>
      </c>
      <c r="X36" s="495">
        <f>'IBS Action Plan 20170131'!Y36</f>
        <v>0</v>
      </c>
      <c r="Y36" s="177">
        <f t="shared" si="0"/>
        <v>1926</v>
      </c>
    </row>
    <row r="37" spans="1:25" x14ac:dyDescent="0.3">
      <c r="A37" s="735"/>
      <c r="B37" s="503" t="s">
        <v>126</v>
      </c>
      <c r="C37" s="163">
        <f>'IBS Action Plan 20170131'!C37</f>
        <v>0</v>
      </c>
      <c r="D37" s="163">
        <f>'IBS Action Plan 20170131'!D37</f>
        <v>0</v>
      </c>
      <c r="E37" s="163">
        <f>'IBS Action Plan 20170131'!E37</f>
        <v>0</v>
      </c>
      <c r="F37" s="163">
        <f>'IBS Action Plan 20170131'!F37</f>
        <v>0</v>
      </c>
      <c r="G37" s="163">
        <f>'IBS Action Plan 20170131'!G37</f>
        <v>0</v>
      </c>
      <c r="H37" s="163">
        <f>'IBS Action Plan 20170131'!H37</f>
        <v>0</v>
      </c>
      <c r="I37" s="163">
        <f>'IBS Action Plan 20170131'!I37</f>
        <v>0</v>
      </c>
      <c r="J37" s="163">
        <f>'IBS Action Plan 20170131'!J37</f>
        <v>0</v>
      </c>
      <c r="K37" s="163" t="str">
        <f>'IBS Action Plan 20170131'!K37</f>
        <v xml:space="preserve">             -  </v>
      </c>
      <c r="L37" s="163" t="str">
        <f>'IBS Action Plan 20170131'!L37</f>
        <v xml:space="preserve">                    -  </v>
      </c>
      <c r="M37" s="163">
        <f>'IBS Action Plan 20170131'!N37</f>
        <v>0</v>
      </c>
      <c r="N37" s="493"/>
      <c r="O37" s="494" t="str">
        <f>'IBS Action Plan 20170131'!P37</f>
        <v>Economic</v>
      </c>
      <c r="P37" s="494">
        <f>'IBS Action Plan 20170131'!Q37</f>
        <v>0</v>
      </c>
      <c r="Q37" s="494">
        <f>'IBS Action Plan 20170131'!R37</f>
        <v>0</v>
      </c>
      <c r="R37" s="494">
        <f>'IBS Action Plan 20170131'!S37</f>
        <v>0</v>
      </c>
      <c r="S37" s="494">
        <f>'IBS Action Plan 20170131'!T37</f>
        <v>37</v>
      </c>
      <c r="T37" s="494">
        <f>'IBS Action Plan 20170131'!U37</f>
        <v>0</v>
      </c>
      <c r="U37" s="494">
        <f>'IBS Action Plan 20170131'!V37</f>
        <v>37</v>
      </c>
      <c r="V37" s="494">
        <f>'IBS Action Plan 20170131'!W37</f>
        <v>14.8</v>
      </c>
      <c r="W37" s="494">
        <f>'IBS Action Plan 20170131'!X37</f>
        <v>22.2</v>
      </c>
      <c r="X37" s="495" t="str">
        <f>'IBS Action Plan 20170131'!Y37</f>
        <v xml:space="preserve">Isolated </v>
      </c>
      <c r="Y37" s="177">
        <f t="shared" si="0"/>
        <v>37</v>
      </c>
    </row>
    <row r="38" spans="1:25" x14ac:dyDescent="0.3">
      <c r="A38" s="735"/>
      <c r="B38" s="503" t="s">
        <v>20</v>
      </c>
      <c r="C38" s="163">
        <f>'IBS Action Plan 20170131'!C38</f>
        <v>0</v>
      </c>
      <c r="D38" s="163">
        <f>'IBS Action Plan 20170131'!D38</f>
        <v>0</v>
      </c>
      <c r="E38" s="163">
        <f>'IBS Action Plan 20170131'!E38</f>
        <v>0</v>
      </c>
      <c r="F38" s="163">
        <f>'IBS Action Plan 20170131'!F38</f>
        <v>94</v>
      </c>
      <c r="G38" s="163">
        <f>'IBS Action Plan 20170131'!G38</f>
        <v>94</v>
      </c>
      <c r="H38" s="163">
        <f>'IBS Action Plan 20170131'!H38</f>
        <v>47</v>
      </c>
      <c r="I38" s="163">
        <f>'IBS Action Plan 20170131'!I38</f>
        <v>0.5</v>
      </c>
      <c r="J38" s="163">
        <f>'IBS Action Plan 20170131'!J38</f>
        <v>0</v>
      </c>
      <c r="K38" s="163">
        <f>'IBS Action Plan 20170131'!K38</f>
        <v>53</v>
      </c>
      <c r="L38" s="163">
        <f>'IBS Action Plan 20170131'!L38</f>
        <v>41</v>
      </c>
      <c r="M38" s="163" t="str">
        <f>'IBS Action Plan 20170131'!N38</f>
        <v xml:space="preserve"> 2021 - 22 </v>
      </c>
      <c r="N38" s="493"/>
      <c r="O38" s="494" t="str">
        <f>'IBS Action Plan 20170131'!P38</f>
        <v>Economic</v>
      </c>
      <c r="P38" s="494">
        <f>'IBS Action Plan 20170131'!Q38</f>
        <v>0</v>
      </c>
      <c r="Q38" s="494">
        <f>'IBS Action Plan 20170131'!R38</f>
        <v>0</v>
      </c>
      <c r="R38" s="494">
        <f>'IBS Action Plan 20170131'!S38</f>
        <v>2</v>
      </c>
      <c r="S38" s="494">
        <f>'IBS Action Plan 20170131'!T38</f>
        <v>0</v>
      </c>
      <c r="T38" s="494">
        <f>'IBS Action Plan 20170131'!U38</f>
        <v>0</v>
      </c>
      <c r="U38" s="494">
        <f>'IBS Action Plan 20170131'!V38</f>
        <v>2</v>
      </c>
      <c r="V38" s="494">
        <f>'IBS Action Plan 20170131'!W38</f>
        <v>0.8</v>
      </c>
      <c r="W38" s="494">
        <f>'IBS Action Plan 20170131'!X38</f>
        <v>1.2</v>
      </c>
      <c r="X38" s="495" t="str">
        <f>'IBS Action Plan 20170131'!Y38</f>
        <v xml:space="preserve">Isolated </v>
      </c>
      <c r="Y38" s="177">
        <f t="shared" si="0"/>
        <v>96</v>
      </c>
    </row>
    <row r="39" spans="1:25" x14ac:dyDescent="0.3">
      <c r="A39" s="735"/>
      <c r="B39" s="503" t="s">
        <v>127</v>
      </c>
      <c r="C39" s="163">
        <f>'IBS Action Plan 20170131'!C39</f>
        <v>0</v>
      </c>
      <c r="D39" s="163">
        <f>'IBS Action Plan 20170131'!D39</f>
        <v>26</v>
      </c>
      <c r="E39" s="163">
        <f>'IBS Action Plan 20170131'!E39</f>
        <v>16</v>
      </c>
      <c r="F39" s="163">
        <f>'IBS Action Plan 20170131'!F39</f>
        <v>485</v>
      </c>
      <c r="G39" s="163">
        <f>'IBS Action Plan 20170131'!G39</f>
        <v>527</v>
      </c>
      <c r="H39" s="163">
        <f>'IBS Action Plan 20170131'!H39</f>
        <v>284.5</v>
      </c>
      <c r="I39" s="163">
        <f>'IBS Action Plan 20170131'!I39</f>
        <v>0.53984819734345346</v>
      </c>
      <c r="J39" s="163">
        <f>'IBS Action Plan 20170131'!J39</f>
        <v>340</v>
      </c>
      <c r="K39" s="163">
        <f>'IBS Action Plan 20170131'!K39</f>
        <v>25</v>
      </c>
      <c r="L39" s="163">
        <f>'IBS Action Plan 20170131'!L39</f>
        <v>842</v>
      </c>
      <c r="M39" s="163" t="str">
        <f>'IBS Action Plan 20170131'!N39</f>
        <v xml:space="preserve"> 2020 - 21 </v>
      </c>
      <c r="N39" s="493"/>
      <c r="O39" s="494" t="str">
        <f>'IBS Action Plan 20170131'!P39</f>
        <v>Economic</v>
      </c>
      <c r="P39" s="494">
        <f>'IBS Action Plan 20170131'!Q39</f>
        <v>0</v>
      </c>
      <c r="Q39" s="494">
        <f>'IBS Action Plan 20170131'!R39</f>
        <v>173</v>
      </c>
      <c r="R39" s="494">
        <f>'IBS Action Plan 20170131'!S39</f>
        <v>0</v>
      </c>
      <c r="S39" s="494">
        <f>'IBS Action Plan 20170131'!T39</f>
        <v>35</v>
      </c>
      <c r="T39" s="494">
        <f>'IBS Action Plan 20170131'!U39</f>
        <v>119</v>
      </c>
      <c r="U39" s="494">
        <f>'IBS Action Plan 20170131'!V39</f>
        <v>327</v>
      </c>
      <c r="V39" s="494">
        <f>'IBS Action Plan 20170131'!W39</f>
        <v>130.80000000000001</v>
      </c>
      <c r="W39" s="494">
        <f>'IBS Action Plan 20170131'!X39</f>
        <v>196.2</v>
      </c>
      <c r="X39" s="495" t="str">
        <f>'IBS Action Plan 20170131'!Y39</f>
        <v xml:space="preserve">Roads, other, NDU </v>
      </c>
      <c r="Y39" s="177">
        <f t="shared" si="0"/>
        <v>1194</v>
      </c>
    </row>
    <row r="40" spans="1:25" x14ac:dyDescent="0.3">
      <c r="A40" s="735"/>
      <c r="B40" s="503" t="s">
        <v>128</v>
      </c>
      <c r="C40" s="163">
        <f>'IBS Action Plan 20170131'!C40</f>
        <v>0</v>
      </c>
      <c r="D40" s="163">
        <f>'IBS Action Plan 20170131'!D40</f>
        <v>166</v>
      </c>
      <c r="E40" s="163">
        <f>'IBS Action Plan 20170131'!E40</f>
        <v>132</v>
      </c>
      <c r="F40" s="163">
        <f>'IBS Action Plan 20170131'!F40</f>
        <v>9</v>
      </c>
      <c r="G40" s="163">
        <f>'IBS Action Plan 20170131'!G40</f>
        <v>307</v>
      </c>
      <c r="H40" s="163">
        <f>'IBS Action Plan 20170131'!H40</f>
        <v>302.5</v>
      </c>
      <c r="I40" s="163">
        <f>'IBS Action Plan 20170131'!I40</f>
        <v>0.98534201954397393</v>
      </c>
      <c r="J40" s="163">
        <f>'IBS Action Plan 20170131'!J40</f>
        <v>507</v>
      </c>
      <c r="K40" s="163">
        <f>'IBS Action Plan 20170131'!K40</f>
        <v>5</v>
      </c>
      <c r="L40" s="163">
        <f>'IBS Action Plan 20170131'!L40</f>
        <v>811</v>
      </c>
      <c r="M40" s="163" t="str">
        <f>'IBS Action Plan 20170131'!N40</f>
        <v xml:space="preserve"> 2017 - 18  </v>
      </c>
      <c r="N40" s="493"/>
      <c r="O40" s="494">
        <f>'IBS Action Plan 20170131'!P40</f>
        <v>0</v>
      </c>
      <c r="P40" s="494">
        <f>'IBS Action Plan 20170131'!Q40</f>
        <v>0</v>
      </c>
      <c r="Q40" s="494">
        <f>'IBS Action Plan 20170131'!R40</f>
        <v>0</v>
      </c>
      <c r="R40" s="494">
        <f>'IBS Action Plan 20170131'!S40</f>
        <v>0</v>
      </c>
      <c r="S40" s="494">
        <f>'IBS Action Plan 20170131'!T40</f>
        <v>0</v>
      </c>
      <c r="T40" s="494">
        <f>'IBS Action Plan 20170131'!U40</f>
        <v>0</v>
      </c>
      <c r="U40" s="494">
        <f>'IBS Action Plan 20170131'!V40</f>
        <v>0</v>
      </c>
      <c r="V40" s="494">
        <f>'IBS Action Plan 20170131'!W40</f>
        <v>0</v>
      </c>
      <c r="W40" s="494">
        <f>'IBS Action Plan 20170131'!X40</f>
        <v>0</v>
      </c>
      <c r="X40" s="495">
        <f>'IBS Action Plan 20170131'!Y40</f>
        <v>0</v>
      </c>
      <c r="Y40" s="110">
        <f t="shared" si="0"/>
        <v>814</v>
      </c>
    </row>
    <row r="41" spans="1:25" x14ac:dyDescent="0.3">
      <c r="A41" s="357" t="s">
        <v>14</v>
      </c>
      <c r="B41" s="504" t="s">
        <v>205</v>
      </c>
      <c r="C41" s="163">
        <f>'IBS Action Plan 20170131'!C41</f>
        <v>0</v>
      </c>
      <c r="D41" s="163">
        <f>'IBS Action Plan 20170131'!D41</f>
        <v>336</v>
      </c>
      <c r="E41" s="163">
        <f>'IBS Action Plan 20170131'!E41</f>
        <v>1617</v>
      </c>
      <c r="F41" s="163">
        <f>'IBS Action Plan 20170131'!F41</f>
        <v>7736</v>
      </c>
      <c r="G41" s="163">
        <f>'IBS Action Plan 20170131'!G41</f>
        <v>9689</v>
      </c>
      <c r="H41" s="163">
        <f>'IBS Action Plan 20170131'!H41</f>
        <v>5821</v>
      </c>
      <c r="I41" s="163">
        <f>'IBS Action Plan 20170131'!I41</f>
        <v>0.60078439467437295</v>
      </c>
      <c r="J41" s="163">
        <f>'IBS Action Plan 20170131'!J41</f>
        <v>2644</v>
      </c>
      <c r="K41" s="163">
        <f>'IBS Action Plan 20170131'!K41</f>
        <v>2336</v>
      </c>
      <c r="L41" s="163">
        <f>'IBS Action Plan 20170131'!L41</f>
        <v>10000</v>
      </c>
      <c r="M41" s="163">
        <f>'IBS Action Plan 20170131'!N41</f>
        <v>0</v>
      </c>
      <c r="N41" s="505"/>
      <c r="O41" s="494" t="str">
        <f>'IBS Action Plan 20170131'!P41</f>
        <v xml:space="preserve">             -  </v>
      </c>
      <c r="P41" s="494">
        <f>'IBS Action Plan 20170131'!Q41</f>
        <v>0</v>
      </c>
      <c r="Q41" s="494">
        <f>'IBS Action Plan 20170131'!R41</f>
        <v>173</v>
      </c>
      <c r="R41" s="494">
        <f>'IBS Action Plan 20170131'!S41</f>
        <v>2</v>
      </c>
      <c r="S41" s="494">
        <f>'IBS Action Plan 20170131'!T41</f>
        <v>72</v>
      </c>
      <c r="T41" s="494">
        <f>'IBS Action Plan 20170131'!U41</f>
        <v>217</v>
      </c>
      <c r="U41" s="494">
        <f>'IBS Action Plan 20170131'!V41</f>
        <v>464</v>
      </c>
      <c r="V41" s="494">
        <f>'IBS Action Plan 20170131'!W41</f>
        <v>185.60000000000002</v>
      </c>
      <c r="W41" s="494">
        <f>'IBS Action Plan 20170131'!X41</f>
        <v>278.39999999999998</v>
      </c>
      <c r="X41" s="495">
        <f>'IBS Action Plan 20170131'!Y41</f>
        <v>0</v>
      </c>
      <c r="Y41" s="114">
        <f t="shared" si="0"/>
        <v>12797</v>
      </c>
    </row>
    <row r="42" spans="1:25" x14ac:dyDescent="0.3">
      <c r="A42" s="724" t="s">
        <v>157</v>
      </c>
      <c r="B42" s="497" t="s">
        <v>159</v>
      </c>
      <c r="C42" s="163">
        <f>'IBS Action Plan 20170131'!C42</f>
        <v>0</v>
      </c>
      <c r="D42" s="163">
        <f>'IBS Action Plan 20170131'!D42</f>
        <v>0</v>
      </c>
      <c r="E42" s="163">
        <f>'IBS Action Plan 20170131'!E42</f>
        <v>0</v>
      </c>
      <c r="F42" s="163">
        <f>'IBS Action Plan 20170131'!F42</f>
        <v>19</v>
      </c>
      <c r="G42" s="163">
        <f>'IBS Action Plan 20170131'!G42</f>
        <v>19</v>
      </c>
      <c r="H42" s="163">
        <f>'IBS Action Plan 20170131'!H42</f>
        <v>9.5</v>
      </c>
      <c r="I42" s="163">
        <f>'IBS Action Plan 20170131'!I42</f>
        <v>0.5</v>
      </c>
      <c r="J42" s="163">
        <f>'IBS Action Plan 20170131'!J42</f>
        <v>0</v>
      </c>
      <c r="K42" s="163" t="str">
        <f>'IBS Action Plan 20170131'!K42</f>
        <v xml:space="preserve">              -  </v>
      </c>
      <c r="L42" s="163">
        <f>'IBS Action Plan 20170131'!L42</f>
        <v>19</v>
      </c>
      <c r="M42" s="163" t="str">
        <f>'IBS Action Plan 20170131'!N42</f>
        <v>2017-2019</v>
      </c>
      <c r="N42" s="498"/>
      <c r="O42" s="494">
        <f>'IBS Action Plan 20170131'!P42</f>
        <v>0</v>
      </c>
      <c r="P42" s="494">
        <f>'IBS Action Plan 20170131'!Q42</f>
        <v>0</v>
      </c>
      <c r="Q42" s="494">
        <f>'IBS Action Plan 20170131'!R42</f>
        <v>0</v>
      </c>
      <c r="R42" s="494">
        <f>'IBS Action Plan 20170131'!S42</f>
        <v>0</v>
      </c>
      <c r="S42" s="494">
        <f>'IBS Action Plan 20170131'!T42</f>
        <v>0</v>
      </c>
      <c r="T42" s="494">
        <f>'IBS Action Plan 20170131'!U42</f>
        <v>0</v>
      </c>
      <c r="U42" s="494">
        <f>'IBS Action Plan 20170131'!V42</f>
        <v>0</v>
      </c>
      <c r="V42" s="494">
        <f>'IBS Action Plan 20170131'!W42</f>
        <v>0</v>
      </c>
      <c r="W42" s="494">
        <f>'IBS Action Plan 20170131'!X42</f>
        <v>0</v>
      </c>
      <c r="X42" s="495">
        <f>'IBS Action Plan 20170131'!Y42</f>
        <v>0</v>
      </c>
      <c r="Y42" s="435">
        <f t="shared" si="0"/>
        <v>19</v>
      </c>
    </row>
    <row r="43" spans="1:25" x14ac:dyDescent="0.3">
      <c r="A43" s="736"/>
      <c r="B43" s="497" t="s">
        <v>160</v>
      </c>
      <c r="C43" s="163">
        <f>'IBS Action Plan 20170131'!C43</f>
        <v>0</v>
      </c>
      <c r="D43" s="163">
        <f>'IBS Action Plan 20170131'!D43</f>
        <v>443</v>
      </c>
      <c r="E43" s="163">
        <f>'IBS Action Plan 20170131'!E43</f>
        <v>383</v>
      </c>
      <c r="F43" s="163">
        <f>'IBS Action Plan 20170131'!F43</f>
        <v>3308</v>
      </c>
      <c r="G43" s="163">
        <f>'IBS Action Plan 20170131'!G43</f>
        <v>4134</v>
      </c>
      <c r="H43" s="163">
        <f>'IBS Action Plan 20170131'!H43</f>
        <v>2480</v>
      </c>
      <c r="I43" s="163">
        <f>'IBS Action Plan 20170131'!I43</f>
        <v>0.59990324141267537</v>
      </c>
      <c r="J43" s="163">
        <f>'IBS Action Plan 20170131'!J43</f>
        <v>2048</v>
      </c>
      <c r="K43" s="163">
        <f>'IBS Action Plan 20170131'!K43</f>
        <v>693</v>
      </c>
      <c r="L43" s="163">
        <f>'IBS Action Plan 20170131'!L43</f>
        <v>5489</v>
      </c>
      <c r="M43" s="163" t="str">
        <f>'IBS Action Plan 20170131'!N43</f>
        <v>2017-2021</v>
      </c>
      <c r="N43" s="498"/>
      <c r="O43" s="494">
        <f>'IBS Action Plan 20170131'!P43</f>
        <v>0</v>
      </c>
      <c r="P43" s="494">
        <f>'IBS Action Plan 20170131'!Q43</f>
        <v>0</v>
      </c>
      <c r="Q43" s="494">
        <f>'IBS Action Plan 20170131'!R43</f>
        <v>0</v>
      </c>
      <c r="R43" s="494">
        <f>'IBS Action Plan 20170131'!S43</f>
        <v>0</v>
      </c>
      <c r="S43" s="494">
        <f>'IBS Action Plan 20170131'!T43</f>
        <v>0</v>
      </c>
      <c r="T43" s="494">
        <f>'IBS Action Plan 20170131'!U43</f>
        <v>0</v>
      </c>
      <c r="U43" s="494">
        <f>'IBS Action Plan 20170131'!V43</f>
        <v>0</v>
      </c>
      <c r="V43" s="494">
        <f>'IBS Action Plan 20170131'!W43</f>
        <v>0</v>
      </c>
      <c r="W43" s="494">
        <f>'IBS Action Plan 20170131'!X43</f>
        <v>0</v>
      </c>
      <c r="X43" s="495">
        <f>'IBS Action Plan 20170131'!Y43</f>
        <v>0</v>
      </c>
      <c r="Y43" s="177">
        <f t="shared" si="0"/>
        <v>6182</v>
      </c>
    </row>
    <row r="44" spans="1:25" x14ac:dyDescent="0.3">
      <c r="A44" s="736"/>
      <c r="B44" s="497" t="s">
        <v>161</v>
      </c>
      <c r="C44" s="163">
        <f>'IBS Action Plan 20170131'!C44</f>
        <v>0</v>
      </c>
      <c r="D44" s="163">
        <f>'IBS Action Plan 20170131'!D44</f>
        <v>70</v>
      </c>
      <c r="E44" s="163">
        <f>'IBS Action Plan 20170131'!E44</f>
        <v>439</v>
      </c>
      <c r="F44" s="163">
        <f>'IBS Action Plan 20170131'!F44</f>
        <v>444</v>
      </c>
      <c r="G44" s="163">
        <f>'IBS Action Plan 20170131'!G44</f>
        <v>953</v>
      </c>
      <c r="H44" s="163">
        <f>'IBS Action Plan 20170131'!H44</f>
        <v>731</v>
      </c>
      <c r="I44" s="163">
        <f>'IBS Action Plan 20170131'!I44</f>
        <v>0.76705141657922349</v>
      </c>
      <c r="J44" s="163">
        <f>'IBS Action Plan 20170131'!J44</f>
        <v>414</v>
      </c>
      <c r="K44" s="163">
        <f>'IBS Action Plan 20170131'!K44</f>
        <v>94</v>
      </c>
      <c r="L44" s="163">
        <f>'IBS Action Plan 20170131'!L44</f>
        <v>1273</v>
      </c>
      <c r="M44" s="163" t="str">
        <f>'IBS Action Plan 20170131'!N44</f>
        <v>2017-2018</v>
      </c>
      <c r="N44" s="498"/>
      <c r="O44" s="494">
        <f>'IBS Action Plan 20170131'!P44</f>
        <v>0</v>
      </c>
      <c r="P44" s="494">
        <f>'IBS Action Plan 20170131'!Q44</f>
        <v>0</v>
      </c>
      <c r="Q44" s="494">
        <f>'IBS Action Plan 20170131'!R44</f>
        <v>0</v>
      </c>
      <c r="R44" s="494">
        <f>'IBS Action Plan 20170131'!S44</f>
        <v>0</v>
      </c>
      <c r="S44" s="494">
        <f>'IBS Action Plan 20170131'!T44</f>
        <v>0</v>
      </c>
      <c r="T44" s="494">
        <f>'IBS Action Plan 20170131'!U44</f>
        <v>0</v>
      </c>
      <c r="U44" s="494">
        <f>'IBS Action Plan 20170131'!V44</f>
        <v>0</v>
      </c>
      <c r="V44" s="494">
        <f>'IBS Action Plan 20170131'!W44</f>
        <v>0</v>
      </c>
      <c r="W44" s="494">
        <f>'IBS Action Plan 20170131'!X44</f>
        <v>0</v>
      </c>
      <c r="X44" s="495">
        <f>'IBS Action Plan 20170131'!Y44</f>
        <v>0</v>
      </c>
      <c r="Y44" s="177">
        <f t="shared" si="0"/>
        <v>1367</v>
      </c>
    </row>
    <row r="45" spans="1:25" x14ac:dyDescent="0.3">
      <c r="A45" s="736"/>
      <c r="B45" s="497" t="s">
        <v>162</v>
      </c>
      <c r="C45" s="163">
        <f>'IBS Action Plan 20170131'!C45</f>
        <v>0</v>
      </c>
      <c r="D45" s="163">
        <f>'IBS Action Plan 20170131'!D45</f>
        <v>0</v>
      </c>
      <c r="E45" s="163">
        <f>'IBS Action Plan 20170131'!E45</f>
        <v>0</v>
      </c>
      <c r="F45" s="163">
        <f>'IBS Action Plan 20170131'!F45</f>
        <v>0</v>
      </c>
      <c r="G45" s="163">
        <f>'IBS Action Plan 20170131'!G45</f>
        <v>0</v>
      </c>
      <c r="H45" s="163">
        <f>'IBS Action Plan 20170131'!H45</f>
        <v>0</v>
      </c>
      <c r="I45" s="163">
        <f>'IBS Action Plan 20170131'!I45</f>
        <v>0</v>
      </c>
      <c r="J45" s="163">
        <f>'IBS Action Plan 20170131'!J45</f>
        <v>421</v>
      </c>
      <c r="K45" s="163" t="str">
        <f>'IBS Action Plan 20170131'!K45</f>
        <v xml:space="preserve">              -  </v>
      </c>
      <c r="L45" s="163">
        <f>'IBS Action Plan 20170131'!L45</f>
        <v>421</v>
      </c>
      <c r="M45" s="163" t="str">
        <f>'IBS Action Plan 20170131'!N45</f>
        <v>2018-2019</v>
      </c>
      <c r="N45" s="498"/>
      <c r="O45" s="494">
        <f>'IBS Action Plan 20170131'!P45</f>
        <v>0</v>
      </c>
      <c r="P45" s="494">
        <f>'IBS Action Plan 20170131'!Q45</f>
        <v>0</v>
      </c>
      <c r="Q45" s="494">
        <f>'IBS Action Plan 20170131'!R45</f>
        <v>0</v>
      </c>
      <c r="R45" s="494">
        <f>'IBS Action Plan 20170131'!S45</f>
        <v>0</v>
      </c>
      <c r="S45" s="494">
        <f>'IBS Action Plan 20170131'!T45</f>
        <v>0</v>
      </c>
      <c r="T45" s="494">
        <f>'IBS Action Plan 20170131'!U45</f>
        <v>0</v>
      </c>
      <c r="U45" s="494">
        <f>'IBS Action Plan 20170131'!V45</f>
        <v>0</v>
      </c>
      <c r="V45" s="494">
        <f>'IBS Action Plan 20170131'!W45</f>
        <v>0</v>
      </c>
      <c r="W45" s="494">
        <f>'IBS Action Plan 20170131'!X45</f>
        <v>0</v>
      </c>
      <c r="X45" s="495">
        <f>'IBS Action Plan 20170131'!Y45</f>
        <v>0</v>
      </c>
      <c r="Y45" s="177">
        <f t="shared" si="0"/>
        <v>421</v>
      </c>
    </row>
    <row r="46" spans="1:25" ht="28.8" x14ac:dyDescent="0.3">
      <c r="A46" s="736"/>
      <c r="B46" s="497" t="s">
        <v>75</v>
      </c>
      <c r="C46" s="163">
        <f>'IBS Action Plan 20170131'!C46</f>
        <v>0</v>
      </c>
      <c r="D46" s="163">
        <f>'IBS Action Plan 20170131'!D46</f>
        <v>0</v>
      </c>
      <c r="E46" s="163">
        <f>'IBS Action Plan 20170131'!E46</f>
        <v>26</v>
      </c>
      <c r="F46" s="163">
        <f>'IBS Action Plan 20170131'!F46</f>
        <v>1289</v>
      </c>
      <c r="G46" s="163">
        <f>'IBS Action Plan 20170131'!G46</f>
        <v>1315</v>
      </c>
      <c r="H46" s="163">
        <f>'IBS Action Plan 20170131'!H46</f>
        <v>670.5</v>
      </c>
      <c r="I46" s="163">
        <f>'IBS Action Plan 20170131'!I46</f>
        <v>0.50988593155893536</v>
      </c>
      <c r="J46" s="163">
        <f>'IBS Action Plan 20170131'!J46</f>
        <v>1202</v>
      </c>
      <c r="K46" s="163">
        <f>'IBS Action Plan 20170131'!K46</f>
        <v>497</v>
      </c>
      <c r="L46" s="163">
        <f>'IBS Action Plan 20170131'!L46</f>
        <v>2019</v>
      </c>
      <c r="M46" s="163" t="str">
        <f>'IBS Action Plan 20170131'!N46</f>
        <v xml:space="preserve"> 2020-2023 </v>
      </c>
      <c r="N46" s="498"/>
      <c r="O46" s="494" t="str">
        <f>'IBS Action Plan 20170131'!P46</f>
        <v>Legal</v>
      </c>
      <c r="P46" s="494">
        <f>'IBS Action Plan 20170131'!Q46</f>
        <v>0</v>
      </c>
      <c r="Q46" s="494">
        <f>'IBS Action Plan 20170131'!R46</f>
        <v>0</v>
      </c>
      <c r="R46" s="494">
        <f>'IBS Action Plan 20170131'!S46</f>
        <v>9</v>
      </c>
      <c r="S46" s="494">
        <f>'IBS Action Plan 20170131'!T46</f>
        <v>113</v>
      </c>
      <c r="T46" s="494">
        <f>'IBS Action Plan 20170131'!U46</f>
        <v>233</v>
      </c>
      <c r="U46" s="494">
        <f>'IBS Action Plan 20170131'!V46</f>
        <v>355</v>
      </c>
      <c r="V46" s="494">
        <f>'IBS Action Plan 20170131'!W46</f>
        <v>45</v>
      </c>
      <c r="W46" s="494">
        <f>'IBS Action Plan 20170131'!X46</f>
        <v>310</v>
      </c>
      <c r="X46" s="499" t="str">
        <f>'IBS Action Plan 20170131'!Y46</f>
        <v xml:space="preserve">Proposed landscape biodiversity areas for A25 (old forest); likely to be some operability issues as well </v>
      </c>
      <c r="Y46" s="177">
        <f t="shared" si="0"/>
        <v>2872</v>
      </c>
    </row>
    <row r="47" spans="1:25" x14ac:dyDescent="0.3">
      <c r="A47" s="736"/>
      <c r="B47" s="497" t="s">
        <v>76</v>
      </c>
      <c r="C47" s="163">
        <f>'IBS Action Plan 20170131'!C47</f>
        <v>0</v>
      </c>
      <c r="D47" s="163">
        <f>'IBS Action Plan 20170131'!D47</f>
        <v>181</v>
      </c>
      <c r="E47" s="163">
        <f>'IBS Action Plan 20170131'!E47</f>
        <v>1699</v>
      </c>
      <c r="F47" s="163">
        <f>'IBS Action Plan 20170131'!F47</f>
        <v>3131</v>
      </c>
      <c r="G47" s="163">
        <f>'IBS Action Plan 20170131'!G47</f>
        <v>5011</v>
      </c>
      <c r="H47" s="163">
        <f>'IBS Action Plan 20170131'!H47</f>
        <v>3445.5</v>
      </c>
      <c r="I47" s="163">
        <f>'IBS Action Plan 20170131'!I47</f>
        <v>0.68758730792257039</v>
      </c>
      <c r="J47" s="163">
        <f>'IBS Action Plan 20170131'!J47</f>
        <v>417</v>
      </c>
      <c r="K47" s="163">
        <f>'IBS Action Plan 20170131'!K47</f>
        <v>1651</v>
      </c>
      <c r="L47" s="163">
        <f>'IBS Action Plan 20170131'!L47</f>
        <v>3777</v>
      </c>
      <c r="M47" s="163" t="str">
        <f>'IBS Action Plan 20170131'!N47</f>
        <v xml:space="preserve"> 2017-2024 </v>
      </c>
      <c r="N47" s="498"/>
      <c r="O47" s="494" t="str">
        <f>'IBS Action Plan 20170131'!P47</f>
        <v>Legal</v>
      </c>
      <c r="P47" s="494">
        <f>'IBS Action Plan 20170131'!Q47</f>
        <v>0</v>
      </c>
      <c r="Q47" s="494">
        <f>'IBS Action Plan 20170131'!R47</f>
        <v>12</v>
      </c>
      <c r="R47" s="494">
        <f>'IBS Action Plan 20170131'!S47</f>
        <v>392</v>
      </c>
      <c r="S47" s="494">
        <f>'IBS Action Plan 20170131'!T47</f>
        <v>526</v>
      </c>
      <c r="T47" s="494">
        <f>'IBS Action Plan 20170131'!U47</f>
        <v>75</v>
      </c>
      <c r="U47" s="494">
        <f>'IBS Action Plan 20170131'!V47</f>
        <v>1005</v>
      </c>
      <c r="V47" s="494">
        <f>'IBS Action Plan 20170131'!W47</f>
        <v>178</v>
      </c>
      <c r="W47" s="494">
        <f>'IBS Action Plan 20170131'!X47</f>
        <v>827</v>
      </c>
      <c r="X47" s="495" t="str">
        <f>'IBS Action Plan 20170131'!Y47</f>
        <v xml:space="preserve">Proposed landscape biodiversity areas for A25 (old forest) </v>
      </c>
      <c r="Y47" s="177">
        <f t="shared" si="0"/>
        <v>6433</v>
      </c>
    </row>
    <row r="48" spans="1:25" x14ac:dyDescent="0.3">
      <c r="A48" s="736"/>
      <c r="B48" s="497" t="s">
        <v>77</v>
      </c>
      <c r="C48" s="163">
        <f>'IBS Action Plan 20170131'!C48</f>
        <v>0</v>
      </c>
      <c r="D48" s="163">
        <f>'IBS Action Plan 20170131'!D48</f>
        <v>0</v>
      </c>
      <c r="E48" s="163">
        <f>'IBS Action Plan 20170131'!E48</f>
        <v>0</v>
      </c>
      <c r="F48" s="163">
        <f>'IBS Action Plan 20170131'!F48</f>
        <v>366</v>
      </c>
      <c r="G48" s="163">
        <f>'IBS Action Plan 20170131'!G48</f>
        <v>366</v>
      </c>
      <c r="H48" s="163">
        <f>'IBS Action Plan 20170131'!H48</f>
        <v>183</v>
      </c>
      <c r="I48" s="163">
        <f>'IBS Action Plan 20170131'!I48</f>
        <v>0.5</v>
      </c>
      <c r="J48" s="163">
        <f>'IBS Action Plan 20170131'!J48</f>
        <v>3</v>
      </c>
      <c r="K48" s="163" t="str">
        <f>'IBS Action Plan 20170131'!K48</f>
        <v xml:space="preserve"> -   </v>
      </c>
      <c r="L48" s="163">
        <f>'IBS Action Plan 20170131'!L48</f>
        <v>370</v>
      </c>
      <c r="M48" s="163" t="str">
        <f>'IBS Action Plan 20170131'!N48</f>
        <v xml:space="preserve"> 2018-2019 </v>
      </c>
      <c r="N48" s="498"/>
      <c r="O48" s="494">
        <f>'IBS Action Plan 20170131'!P48</f>
        <v>0</v>
      </c>
      <c r="P48" s="494">
        <f>'IBS Action Plan 20170131'!Q48</f>
        <v>0</v>
      </c>
      <c r="Q48" s="494">
        <f>'IBS Action Plan 20170131'!R48</f>
        <v>0</v>
      </c>
      <c r="R48" s="494">
        <f>'IBS Action Plan 20170131'!S48</f>
        <v>0</v>
      </c>
      <c r="S48" s="494">
        <f>'IBS Action Plan 20170131'!T48</f>
        <v>0</v>
      </c>
      <c r="T48" s="494">
        <f>'IBS Action Plan 20170131'!U48</f>
        <v>0</v>
      </c>
      <c r="U48" s="494">
        <f>'IBS Action Plan 20170131'!V48</f>
        <v>0</v>
      </c>
      <c r="V48" s="494">
        <f>'IBS Action Plan 20170131'!W48</f>
        <v>0</v>
      </c>
      <c r="W48" s="494">
        <f>'IBS Action Plan 20170131'!X48</f>
        <v>0</v>
      </c>
      <c r="X48" s="495">
        <f>'IBS Action Plan 20170131'!Y48</f>
        <v>0</v>
      </c>
      <c r="Y48" s="177">
        <f t="shared" si="0"/>
        <v>369</v>
      </c>
    </row>
    <row r="49" spans="1:25" x14ac:dyDescent="0.3">
      <c r="A49" s="736"/>
      <c r="B49" s="497" t="s">
        <v>78</v>
      </c>
      <c r="C49" s="163">
        <f>'IBS Action Plan 20170131'!C49</f>
        <v>0</v>
      </c>
      <c r="D49" s="163">
        <f>'IBS Action Plan 20170131'!D49</f>
        <v>0</v>
      </c>
      <c r="E49" s="163">
        <f>'IBS Action Plan 20170131'!E49</f>
        <v>0</v>
      </c>
      <c r="F49" s="163">
        <f>'IBS Action Plan 20170131'!F49</f>
        <v>21</v>
      </c>
      <c r="G49" s="163">
        <f>'IBS Action Plan 20170131'!G49</f>
        <v>21</v>
      </c>
      <c r="H49" s="163">
        <f>'IBS Action Plan 20170131'!H49</f>
        <v>10.5</v>
      </c>
      <c r="I49" s="163">
        <f>'IBS Action Plan 20170131'!I49</f>
        <v>0.5</v>
      </c>
      <c r="J49" s="163">
        <f>'IBS Action Plan 20170131'!J49</f>
        <v>191</v>
      </c>
      <c r="K49" s="163" t="str">
        <f>'IBS Action Plan 20170131'!K49</f>
        <v xml:space="preserve"> -   </v>
      </c>
      <c r="L49" s="163">
        <f>'IBS Action Plan 20170131'!L49</f>
        <v>212</v>
      </c>
      <c r="M49" s="163" t="str">
        <f>'IBS Action Plan 20170131'!N49</f>
        <v xml:space="preserve"> 2017-2019 </v>
      </c>
      <c r="N49" s="498"/>
      <c r="O49" s="494">
        <f>'IBS Action Plan 20170131'!P49</f>
        <v>0</v>
      </c>
      <c r="P49" s="494">
        <f>'IBS Action Plan 20170131'!Q49</f>
        <v>0</v>
      </c>
      <c r="Q49" s="494">
        <f>'IBS Action Plan 20170131'!R49</f>
        <v>0</v>
      </c>
      <c r="R49" s="494">
        <f>'IBS Action Plan 20170131'!S49</f>
        <v>0</v>
      </c>
      <c r="S49" s="494">
        <f>'IBS Action Plan 20170131'!T49</f>
        <v>0</v>
      </c>
      <c r="T49" s="494">
        <f>'IBS Action Plan 20170131'!U49</f>
        <v>0</v>
      </c>
      <c r="U49" s="494">
        <f>'IBS Action Plan 20170131'!V49</f>
        <v>0</v>
      </c>
      <c r="V49" s="494">
        <f>'IBS Action Plan 20170131'!W49</f>
        <v>0</v>
      </c>
      <c r="W49" s="494">
        <f>'IBS Action Plan 20170131'!X49</f>
        <v>0</v>
      </c>
      <c r="X49" s="495">
        <f>'IBS Action Plan 20170131'!Y49</f>
        <v>0</v>
      </c>
      <c r="Y49" s="177">
        <f t="shared" si="0"/>
        <v>212</v>
      </c>
    </row>
    <row r="50" spans="1:25" x14ac:dyDescent="0.3">
      <c r="A50" s="736"/>
      <c r="B50" s="500" t="s">
        <v>79</v>
      </c>
      <c r="C50" s="163">
        <f>'IBS Action Plan 20170131'!C50</f>
        <v>0</v>
      </c>
      <c r="D50" s="163">
        <f>'IBS Action Plan 20170131'!D50</f>
        <v>0</v>
      </c>
      <c r="E50" s="163">
        <f>'IBS Action Plan 20170131'!E50</f>
        <v>0</v>
      </c>
      <c r="F50" s="163">
        <f>'IBS Action Plan 20170131'!F50</f>
        <v>0</v>
      </c>
      <c r="G50" s="163">
        <f>'IBS Action Plan 20170131'!G50</f>
        <v>0</v>
      </c>
      <c r="H50" s="163">
        <f>'IBS Action Plan 20170131'!H50</f>
        <v>0</v>
      </c>
      <c r="I50" s="163">
        <f>'IBS Action Plan 20170131'!I50</f>
        <v>0</v>
      </c>
      <c r="J50" s="163">
        <f>'IBS Action Plan 20170131'!J50</f>
        <v>59</v>
      </c>
      <c r="K50" s="163">
        <f>'IBS Action Plan 20170131'!K50</f>
        <v>2</v>
      </c>
      <c r="L50" s="163">
        <f>'IBS Action Plan 20170131'!L50</f>
        <v>57</v>
      </c>
      <c r="M50" s="163" t="str">
        <f>'IBS Action Plan 20170131'!N50</f>
        <v xml:space="preserve"> 2018-2020 </v>
      </c>
      <c r="N50" s="498"/>
      <c r="O50" s="494">
        <f>'IBS Action Plan 20170131'!P50</f>
        <v>0</v>
      </c>
      <c r="P50" s="494">
        <f>'IBS Action Plan 20170131'!Q50</f>
        <v>0</v>
      </c>
      <c r="Q50" s="494">
        <f>'IBS Action Plan 20170131'!R50</f>
        <v>0</v>
      </c>
      <c r="R50" s="494">
        <f>'IBS Action Plan 20170131'!S50</f>
        <v>0</v>
      </c>
      <c r="S50" s="494">
        <f>'IBS Action Plan 20170131'!T50</f>
        <v>0</v>
      </c>
      <c r="T50" s="494">
        <f>'IBS Action Plan 20170131'!U50</f>
        <v>0</v>
      </c>
      <c r="U50" s="494">
        <f>'IBS Action Plan 20170131'!V50</f>
        <v>0</v>
      </c>
      <c r="V50" s="494">
        <f>'IBS Action Plan 20170131'!W50</f>
        <v>0</v>
      </c>
      <c r="W50" s="494">
        <f>'IBS Action Plan 20170131'!X50</f>
        <v>0</v>
      </c>
      <c r="X50" s="495">
        <f>'IBS Action Plan 20170131'!Y50</f>
        <v>0</v>
      </c>
      <c r="Y50" s="177">
        <f t="shared" si="0"/>
        <v>59</v>
      </c>
    </row>
    <row r="51" spans="1:25" x14ac:dyDescent="0.3">
      <c r="A51" s="736"/>
      <c r="B51" s="500" t="s">
        <v>80</v>
      </c>
      <c r="C51" s="163">
        <f>'IBS Action Plan 20170131'!C51</f>
        <v>0</v>
      </c>
      <c r="D51" s="163">
        <f>'IBS Action Plan 20170131'!D51</f>
        <v>0</v>
      </c>
      <c r="E51" s="163">
        <f>'IBS Action Plan 20170131'!E51</f>
        <v>0</v>
      </c>
      <c r="F51" s="163">
        <f>'IBS Action Plan 20170131'!F51</f>
        <v>37</v>
      </c>
      <c r="G51" s="163">
        <f>'IBS Action Plan 20170131'!G51</f>
        <v>37</v>
      </c>
      <c r="H51" s="163">
        <f>'IBS Action Plan 20170131'!H51</f>
        <v>18.5</v>
      </c>
      <c r="I51" s="163">
        <f>'IBS Action Plan 20170131'!I51</f>
        <v>0.5</v>
      </c>
      <c r="J51" s="163">
        <f>'IBS Action Plan 20170131'!J51</f>
        <v>27</v>
      </c>
      <c r="K51" s="163" t="str">
        <f>'IBS Action Plan 20170131'!K51</f>
        <v xml:space="preserve"> -   </v>
      </c>
      <c r="L51" s="163">
        <f>'IBS Action Plan 20170131'!L51</f>
        <v>64</v>
      </c>
      <c r="M51" s="163" t="str">
        <f>'IBS Action Plan 20170131'!N51</f>
        <v xml:space="preserve"> 2017-2018 </v>
      </c>
      <c r="N51" s="498"/>
      <c r="O51" s="494">
        <f>'IBS Action Plan 20170131'!P51</f>
        <v>0</v>
      </c>
      <c r="P51" s="494">
        <f>'IBS Action Plan 20170131'!Q51</f>
        <v>0</v>
      </c>
      <c r="Q51" s="494">
        <f>'IBS Action Plan 20170131'!R51</f>
        <v>0</v>
      </c>
      <c r="R51" s="494">
        <f>'IBS Action Plan 20170131'!S51</f>
        <v>0</v>
      </c>
      <c r="S51" s="494">
        <f>'IBS Action Plan 20170131'!T51</f>
        <v>0</v>
      </c>
      <c r="T51" s="494">
        <f>'IBS Action Plan 20170131'!U51</f>
        <v>0</v>
      </c>
      <c r="U51" s="494">
        <f>'IBS Action Plan 20170131'!V51</f>
        <v>0</v>
      </c>
      <c r="V51" s="494">
        <f>'IBS Action Plan 20170131'!W51</f>
        <v>0</v>
      </c>
      <c r="W51" s="494">
        <f>'IBS Action Plan 20170131'!X51</f>
        <v>0</v>
      </c>
      <c r="X51" s="495">
        <f>'IBS Action Plan 20170131'!Y51</f>
        <v>0</v>
      </c>
      <c r="Y51" s="177">
        <f t="shared" si="0"/>
        <v>64</v>
      </c>
    </row>
    <row r="52" spans="1:25" x14ac:dyDescent="0.3">
      <c r="A52" s="736"/>
      <c r="B52" s="497" t="s">
        <v>81</v>
      </c>
      <c r="C52" s="163">
        <f>'IBS Action Plan 20170131'!C52</f>
        <v>59</v>
      </c>
      <c r="D52" s="163">
        <f>'IBS Action Plan 20170131'!D52</f>
        <v>29</v>
      </c>
      <c r="E52" s="163">
        <f>'IBS Action Plan 20170131'!E52</f>
        <v>73</v>
      </c>
      <c r="F52" s="163">
        <f>'IBS Action Plan 20170131'!F52</f>
        <v>440</v>
      </c>
      <c r="G52" s="163">
        <f>'IBS Action Plan 20170131'!G52</f>
        <v>601</v>
      </c>
      <c r="H52" s="163">
        <f>'IBS Action Plan 20170131'!H52</f>
        <v>381</v>
      </c>
      <c r="I52" s="163">
        <f>'IBS Action Plan 20170131'!I52</f>
        <v>0.63394342762063227</v>
      </c>
      <c r="J52" s="163">
        <f>'IBS Action Plan 20170131'!J52</f>
        <v>24</v>
      </c>
      <c r="K52" s="163">
        <f>'IBS Action Plan 20170131'!K52</f>
        <v>5</v>
      </c>
      <c r="L52" s="163">
        <f>'IBS Action Plan 20170131'!L52</f>
        <v>620</v>
      </c>
      <c r="M52" s="163" t="str">
        <f>'IBS Action Plan 20170131'!N52</f>
        <v xml:space="preserve"> 2017-2018 </v>
      </c>
      <c r="N52" s="498"/>
      <c r="O52" s="494">
        <f>'IBS Action Plan 20170131'!P52</f>
        <v>0</v>
      </c>
      <c r="P52" s="494">
        <f>'IBS Action Plan 20170131'!Q52</f>
        <v>0</v>
      </c>
      <c r="Q52" s="494">
        <f>'IBS Action Plan 20170131'!R52</f>
        <v>0</v>
      </c>
      <c r="R52" s="494">
        <f>'IBS Action Plan 20170131'!S52</f>
        <v>0</v>
      </c>
      <c r="S52" s="494">
        <f>'IBS Action Plan 20170131'!T52</f>
        <v>0</v>
      </c>
      <c r="T52" s="494">
        <f>'IBS Action Plan 20170131'!U52</f>
        <v>0</v>
      </c>
      <c r="U52" s="494">
        <f>'IBS Action Plan 20170131'!V52</f>
        <v>0</v>
      </c>
      <c r="V52" s="494">
        <f>'IBS Action Plan 20170131'!W52</f>
        <v>0</v>
      </c>
      <c r="W52" s="494">
        <f>'IBS Action Plan 20170131'!X52</f>
        <v>0</v>
      </c>
      <c r="X52" s="495">
        <f>'IBS Action Plan 20170131'!Y52</f>
        <v>0</v>
      </c>
      <c r="Y52" s="177">
        <f t="shared" si="0"/>
        <v>625</v>
      </c>
    </row>
    <row r="53" spans="1:25" x14ac:dyDescent="0.3">
      <c r="A53" s="736"/>
      <c r="B53" s="500" t="s">
        <v>82</v>
      </c>
      <c r="C53" s="163">
        <f>'IBS Action Plan 20170131'!C53</f>
        <v>0</v>
      </c>
      <c r="D53" s="163">
        <f>'IBS Action Plan 20170131'!D53</f>
        <v>0</v>
      </c>
      <c r="E53" s="163">
        <f>'IBS Action Plan 20170131'!E53</f>
        <v>0</v>
      </c>
      <c r="F53" s="163">
        <f>'IBS Action Plan 20170131'!F53</f>
        <v>0</v>
      </c>
      <c r="G53" s="163">
        <f>'IBS Action Plan 20170131'!G53</f>
        <v>0</v>
      </c>
      <c r="H53" s="163">
        <f>'IBS Action Plan 20170131'!H53</f>
        <v>0</v>
      </c>
      <c r="I53" s="163">
        <f>'IBS Action Plan 20170131'!I53</f>
        <v>0</v>
      </c>
      <c r="J53" s="163">
        <f>'IBS Action Plan 20170131'!J53</f>
        <v>235</v>
      </c>
      <c r="K53" s="163">
        <f>'IBS Action Plan 20170131'!K53</f>
        <v>29</v>
      </c>
      <c r="L53" s="163">
        <f>'IBS Action Plan 20170131'!L53</f>
        <v>206</v>
      </c>
      <c r="M53" s="163" t="str">
        <f>'IBS Action Plan 20170131'!N53</f>
        <v>2020</v>
      </c>
      <c r="N53" s="498"/>
      <c r="O53" s="494">
        <f>'IBS Action Plan 20170131'!P53</f>
        <v>0</v>
      </c>
      <c r="P53" s="494">
        <f>'IBS Action Plan 20170131'!Q53</f>
        <v>0</v>
      </c>
      <c r="Q53" s="494">
        <f>'IBS Action Plan 20170131'!R53</f>
        <v>0</v>
      </c>
      <c r="R53" s="494">
        <f>'IBS Action Plan 20170131'!S53</f>
        <v>0</v>
      </c>
      <c r="S53" s="494">
        <f>'IBS Action Plan 20170131'!T53</f>
        <v>0</v>
      </c>
      <c r="T53" s="494">
        <f>'IBS Action Plan 20170131'!U53</f>
        <v>0</v>
      </c>
      <c r="U53" s="494">
        <f>'IBS Action Plan 20170131'!V53</f>
        <v>0</v>
      </c>
      <c r="V53" s="494">
        <f>'IBS Action Plan 20170131'!W53</f>
        <v>0</v>
      </c>
      <c r="W53" s="494">
        <f>'IBS Action Plan 20170131'!X53</f>
        <v>0</v>
      </c>
      <c r="X53" s="495">
        <f>'IBS Action Plan 20170131'!Y53</f>
        <v>0</v>
      </c>
      <c r="Y53" s="177">
        <f t="shared" si="0"/>
        <v>235</v>
      </c>
    </row>
    <row r="54" spans="1:25" x14ac:dyDescent="0.3">
      <c r="A54" s="736"/>
      <c r="B54" s="500" t="s">
        <v>83</v>
      </c>
      <c r="C54" s="163">
        <f>'IBS Action Plan 20170131'!C54</f>
        <v>0</v>
      </c>
      <c r="D54" s="163">
        <f>'IBS Action Plan 20170131'!D54</f>
        <v>0</v>
      </c>
      <c r="E54" s="163">
        <f>'IBS Action Plan 20170131'!E54</f>
        <v>50</v>
      </c>
      <c r="F54" s="163">
        <f>'IBS Action Plan 20170131'!F54</f>
        <v>3747</v>
      </c>
      <c r="G54" s="163">
        <f>'IBS Action Plan 20170131'!G54</f>
        <v>3797</v>
      </c>
      <c r="H54" s="163">
        <f>'IBS Action Plan 20170131'!H54</f>
        <v>1923.5</v>
      </c>
      <c r="I54" s="163">
        <f>'IBS Action Plan 20170131'!I54</f>
        <v>0.50658414537792995</v>
      </c>
      <c r="J54" s="163">
        <f>'IBS Action Plan 20170131'!J54</f>
        <v>4179</v>
      </c>
      <c r="K54" s="163">
        <f>'IBS Action Plan 20170131'!K54</f>
        <v>224</v>
      </c>
      <c r="L54" s="163">
        <f>'IBS Action Plan 20170131'!L54</f>
        <v>7752</v>
      </c>
      <c r="M54" s="163" t="str">
        <f>'IBS Action Plan 20170131'!N54</f>
        <v xml:space="preserve"> 2017-2023 </v>
      </c>
      <c r="N54" s="498"/>
      <c r="O54" s="494" t="str">
        <f>'IBS Action Plan 20170131'!P54</f>
        <v>Legal</v>
      </c>
      <c r="P54" s="494">
        <f>'IBS Action Plan 20170131'!Q54</f>
        <v>0</v>
      </c>
      <c r="Q54" s="494">
        <f>'IBS Action Plan 20170131'!R54</f>
        <v>0</v>
      </c>
      <c r="R54" s="494">
        <f>'IBS Action Plan 20170131'!S54</f>
        <v>0</v>
      </c>
      <c r="S54" s="494">
        <f>'IBS Action Plan 20170131'!T54</f>
        <v>891</v>
      </c>
      <c r="T54" s="494">
        <f>'IBS Action Plan 20170131'!U54</f>
        <v>1298</v>
      </c>
      <c r="U54" s="494">
        <f>'IBS Action Plan 20170131'!V54</f>
        <v>2189</v>
      </c>
      <c r="V54" s="494">
        <f>'IBS Action Plan 20170131'!W54</f>
        <v>79</v>
      </c>
      <c r="W54" s="494">
        <f>'IBS Action Plan 20170131'!X54</f>
        <v>2110</v>
      </c>
      <c r="X54" s="495" t="str">
        <f>'IBS Action Plan 20170131'!Y54</f>
        <v>TFL 30 OGMA</v>
      </c>
      <c r="Y54" s="177">
        <f t="shared" si="0"/>
        <v>10165</v>
      </c>
    </row>
    <row r="55" spans="1:25" x14ac:dyDescent="0.3">
      <c r="A55" s="736"/>
      <c r="B55" s="500" t="s">
        <v>84</v>
      </c>
      <c r="C55" s="163">
        <f>'IBS Action Plan 20170131'!C55</f>
        <v>0</v>
      </c>
      <c r="D55" s="163">
        <f>'IBS Action Plan 20170131'!D55</f>
        <v>0</v>
      </c>
      <c r="E55" s="163">
        <f>'IBS Action Plan 20170131'!E55</f>
        <v>1</v>
      </c>
      <c r="F55" s="163">
        <f>'IBS Action Plan 20170131'!F55</f>
        <v>0</v>
      </c>
      <c r="G55" s="163">
        <f>'IBS Action Plan 20170131'!G55</f>
        <v>1</v>
      </c>
      <c r="H55" s="163">
        <f>'IBS Action Plan 20170131'!H55</f>
        <v>1</v>
      </c>
      <c r="I55" s="163">
        <f>'IBS Action Plan 20170131'!I55</f>
        <v>1</v>
      </c>
      <c r="J55" s="163">
        <f>'IBS Action Plan 20170131'!J55</f>
        <v>0</v>
      </c>
      <c r="K55" s="163" t="str">
        <f>'IBS Action Plan 20170131'!K55</f>
        <v xml:space="preserve"> -   </v>
      </c>
      <c r="L55" s="163">
        <f>'IBS Action Plan 20170131'!L55</f>
        <v>1</v>
      </c>
      <c r="M55" s="163" t="str">
        <f>'IBS Action Plan 20170131'!N55</f>
        <v xml:space="preserve"> 2019-2021 </v>
      </c>
      <c r="N55" s="498"/>
      <c r="O55" s="494" t="str">
        <f>'IBS Action Plan 20170131'!P55</f>
        <v>Legal</v>
      </c>
      <c r="P55" s="494">
        <f>'IBS Action Plan 20170131'!Q55</f>
        <v>0</v>
      </c>
      <c r="Q55" s="494">
        <f>'IBS Action Plan 20170131'!R55</f>
        <v>0</v>
      </c>
      <c r="R55" s="494">
        <f>'IBS Action Plan 20170131'!S55</f>
        <v>14</v>
      </c>
      <c r="S55" s="494">
        <f>'IBS Action Plan 20170131'!T55</f>
        <v>0</v>
      </c>
      <c r="T55" s="494">
        <f>'IBS Action Plan 20170131'!U55</f>
        <v>16</v>
      </c>
      <c r="U55" s="494">
        <f>'IBS Action Plan 20170131'!V55</f>
        <v>30</v>
      </c>
      <c r="V55" s="494">
        <f>'IBS Action Plan 20170131'!W55</f>
        <v>30</v>
      </c>
      <c r="W55" s="494">
        <f>'IBS Action Plan 20170131'!X55</f>
        <v>0</v>
      </c>
      <c r="X55" s="495" t="str">
        <f>'IBS Action Plan 20170131'!Y55</f>
        <v>A25 NDU Biodiversity</v>
      </c>
      <c r="Y55" s="177">
        <f t="shared" si="0"/>
        <v>31</v>
      </c>
    </row>
    <row r="56" spans="1:25" x14ac:dyDescent="0.3">
      <c r="A56" s="736"/>
      <c r="B56" s="500" t="s">
        <v>85</v>
      </c>
      <c r="C56" s="163">
        <f>'IBS Action Plan 20170131'!C56</f>
        <v>0</v>
      </c>
      <c r="D56" s="163">
        <f>'IBS Action Plan 20170131'!D56</f>
        <v>0</v>
      </c>
      <c r="E56" s="163">
        <f>'IBS Action Plan 20170131'!E56</f>
        <v>0</v>
      </c>
      <c r="F56" s="163">
        <f>'IBS Action Plan 20170131'!F56</f>
        <v>15</v>
      </c>
      <c r="G56" s="163">
        <f>'IBS Action Plan 20170131'!G56</f>
        <v>15</v>
      </c>
      <c r="H56" s="163">
        <f>'IBS Action Plan 20170131'!H56</f>
        <v>7.5</v>
      </c>
      <c r="I56" s="163">
        <f>'IBS Action Plan 20170131'!I56</f>
        <v>0.5</v>
      </c>
      <c r="J56" s="163">
        <f>'IBS Action Plan 20170131'!J56</f>
        <v>293</v>
      </c>
      <c r="K56" s="163">
        <f>'IBS Action Plan 20170131'!K56</f>
        <v>35</v>
      </c>
      <c r="L56" s="163">
        <f>'IBS Action Plan 20170131'!L56</f>
        <v>273</v>
      </c>
      <c r="M56" s="163" t="str">
        <f>'IBS Action Plan 20170131'!N56</f>
        <v xml:space="preserve"> 2017-2019 </v>
      </c>
      <c r="N56" s="498"/>
      <c r="O56" s="494">
        <f>'IBS Action Plan 20170131'!P56</f>
        <v>0</v>
      </c>
      <c r="P56" s="494">
        <f>'IBS Action Plan 20170131'!Q56</f>
        <v>0</v>
      </c>
      <c r="Q56" s="494">
        <f>'IBS Action Plan 20170131'!R56</f>
        <v>0</v>
      </c>
      <c r="R56" s="494">
        <f>'IBS Action Plan 20170131'!S56</f>
        <v>0</v>
      </c>
      <c r="S56" s="494">
        <f>'IBS Action Plan 20170131'!T56</f>
        <v>0</v>
      </c>
      <c r="T56" s="494">
        <f>'IBS Action Plan 20170131'!U56</f>
        <v>0</v>
      </c>
      <c r="U56" s="494">
        <f>'IBS Action Plan 20170131'!V56</f>
        <v>0</v>
      </c>
      <c r="V56" s="494">
        <f>'IBS Action Plan 20170131'!W56</f>
        <v>0</v>
      </c>
      <c r="W56" s="494">
        <f>'IBS Action Plan 20170131'!X56</f>
        <v>0</v>
      </c>
      <c r="X56" s="495">
        <f>'IBS Action Plan 20170131'!Y56</f>
        <v>0</v>
      </c>
      <c r="Y56" s="177">
        <f t="shared" si="0"/>
        <v>308</v>
      </c>
    </row>
    <row r="57" spans="1:25" x14ac:dyDescent="0.3">
      <c r="A57" s="736"/>
      <c r="B57" s="500" t="s">
        <v>86</v>
      </c>
      <c r="C57" s="163">
        <f>'IBS Action Plan 20170131'!C57</f>
        <v>0</v>
      </c>
      <c r="D57" s="163">
        <f>'IBS Action Plan 20170131'!D57</f>
        <v>0</v>
      </c>
      <c r="E57" s="163">
        <f>'IBS Action Plan 20170131'!E57</f>
        <v>0</v>
      </c>
      <c r="F57" s="163">
        <f>'IBS Action Plan 20170131'!F57</f>
        <v>663</v>
      </c>
      <c r="G57" s="163">
        <f>'IBS Action Plan 20170131'!G57</f>
        <v>663</v>
      </c>
      <c r="H57" s="163">
        <f>'IBS Action Plan 20170131'!H57</f>
        <v>331.5</v>
      </c>
      <c r="I57" s="163">
        <f>'IBS Action Plan 20170131'!I57</f>
        <v>0.5</v>
      </c>
      <c r="J57" s="163">
        <f>'IBS Action Plan 20170131'!J57</f>
        <v>1036</v>
      </c>
      <c r="K57" s="163">
        <f>'IBS Action Plan 20170131'!K57</f>
        <v>12</v>
      </c>
      <c r="L57" s="163">
        <f>'IBS Action Plan 20170131'!L57</f>
        <v>1687</v>
      </c>
      <c r="M57" s="163" t="str">
        <f>'IBS Action Plan 20170131'!N57</f>
        <v xml:space="preserve"> 2017-2018 </v>
      </c>
      <c r="N57" s="498"/>
      <c r="O57" s="494">
        <f>'IBS Action Plan 20170131'!P57</f>
        <v>0</v>
      </c>
      <c r="P57" s="494">
        <f>'IBS Action Plan 20170131'!Q57</f>
        <v>0</v>
      </c>
      <c r="Q57" s="494">
        <f>'IBS Action Plan 20170131'!R57</f>
        <v>0</v>
      </c>
      <c r="R57" s="494">
        <f>'IBS Action Plan 20170131'!S57</f>
        <v>0</v>
      </c>
      <c r="S57" s="494">
        <f>'IBS Action Plan 20170131'!T57</f>
        <v>0</v>
      </c>
      <c r="T57" s="494">
        <f>'IBS Action Plan 20170131'!U57</f>
        <v>0</v>
      </c>
      <c r="U57" s="494">
        <f>'IBS Action Plan 20170131'!V57</f>
        <v>0</v>
      </c>
      <c r="V57" s="494">
        <f>'IBS Action Plan 20170131'!W57</f>
        <v>0</v>
      </c>
      <c r="W57" s="494">
        <f>'IBS Action Plan 20170131'!X57</f>
        <v>0</v>
      </c>
      <c r="X57" s="495">
        <f>'IBS Action Plan 20170131'!Y57</f>
        <v>0</v>
      </c>
      <c r="Y57" s="177">
        <f t="shared" si="0"/>
        <v>1699</v>
      </c>
    </row>
    <row r="58" spans="1:25" x14ac:dyDescent="0.3">
      <c r="A58" s="736"/>
      <c r="B58" s="500" t="s">
        <v>87</v>
      </c>
      <c r="C58" s="163">
        <f>'IBS Action Plan 20170131'!C58</f>
        <v>0</v>
      </c>
      <c r="D58" s="163">
        <f>'IBS Action Plan 20170131'!D58</f>
        <v>0</v>
      </c>
      <c r="E58" s="163">
        <f>'IBS Action Plan 20170131'!E58</f>
        <v>0</v>
      </c>
      <c r="F58" s="163">
        <f>'IBS Action Plan 20170131'!F58</f>
        <v>35</v>
      </c>
      <c r="G58" s="163">
        <f>'IBS Action Plan 20170131'!G58</f>
        <v>35</v>
      </c>
      <c r="H58" s="163">
        <f>'IBS Action Plan 20170131'!H58</f>
        <v>17.5</v>
      </c>
      <c r="I58" s="163">
        <f>'IBS Action Plan 20170131'!I58</f>
        <v>0.5</v>
      </c>
      <c r="J58" s="163">
        <f>'IBS Action Plan 20170131'!J58</f>
        <v>6</v>
      </c>
      <c r="K58" s="163" t="str">
        <f>'IBS Action Plan 20170131'!K58</f>
        <v xml:space="preserve"> -   </v>
      </c>
      <c r="L58" s="163">
        <f>'IBS Action Plan 20170131'!L58</f>
        <v>41</v>
      </c>
      <c r="M58" s="163" t="str">
        <f>'IBS Action Plan 20170131'!N58</f>
        <v>2018</v>
      </c>
      <c r="N58" s="498"/>
      <c r="O58" s="494">
        <f>'IBS Action Plan 20170131'!P58</f>
        <v>0</v>
      </c>
      <c r="P58" s="494">
        <f>'IBS Action Plan 20170131'!Q58</f>
        <v>0</v>
      </c>
      <c r="Q58" s="494">
        <f>'IBS Action Plan 20170131'!R58</f>
        <v>0</v>
      </c>
      <c r="R58" s="494">
        <f>'IBS Action Plan 20170131'!S58</f>
        <v>0</v>
      </c>
      <c r="S58" s="494">
        <f>'IBS Action Plan 20170131'!T58</f>
        <v>0</v>
      </c>
      <c r="T58" s="494">
        <f>'IBS Action Plan 20170131'!U58</f>
        <v>0</v>
      </c>
      <c r="U58" s="494">
        <f>'IBS Action Plan 20170131'!V58</f>
        <v>0</v>
      </c>
      <c r="V58" s="494">
        <f>'IBS Action Plan 20170131'!W58</f>
        <v>0</v>
      </c>
      <c r="W58" s="494">
        <f>'IBS Action Plan 20170131'!X58</f>
        <v>0</v>
      </c>
      <c r="X58" s="495">
        <f>'IBS Action Plan 20170131'!Y58</f>
        <v>0</v>
      </c>
      <c r="Y58" s="110">
        <f t="shared" si="0"/>
        <v>41</v>
      </c>
    </row>
    <row r="59" spans="1:25" x14ac:dyDescent="0.3">
      <c r="A59" s="392" t="s">
        <v>14</v>
      </c>
      <c r="B59" s="496" t="s">
        <v>204</v>
      </c>
      <c r="C59" s="163">
        <f>'IBS Action Plan 20170131'!C59</f>
        <v>59</v>
      </c>
      <c r="D59" s="163">
        <f>'IBS Action Plan 20170131'!D59</f>
        <v>723</v>
      </c>
      <c r="E59" s="163">
        <f>'IBS Action Plan 20170131'!E59</f>
        <v>2671</v>
      </c>
      <c r="F59" s="163">
        <f>'IBS Action Plan 20170131'!F59</f>
        <v>13515</v>
      </c>
      <c r="G59" s="163">
        <f>'IBS Action Plan 20170131'!G59</f>
        <v>16968</v>
      </c>
      <c r="H59" s="163">
        <f>'IBS Action Plan 20170131'!H59</f>
        <v>10210.5</v>
      </c>
      <c r="I59" s="163">
        <f>'IBS Action Plan 20170131'!I59</f>
        <v>0.6017503536067893</v>
      </c>
      <c r="J59" s="163">
        <f>'IBS Action Plan 20170131'!J59</f>
        <v>10555</v>
      </c>
      <c r="K59" s="163">
        <f>'IBS Action Plan 20170131'!K59</f>
        <v>3242</v>
      </c>
      <c r="L59" s="163">
        <f>'IBS Action Plan 20170131'!L59</f>
        <v>24281</v>
      </c>
      <c r="M59" s="163">
        <f>'IBS Action Plan 20170131'!N59</f>
        <v>0</v>
      </c>
      <c r="N59" s="498"/>
      <c r="O59" s="494">
        <f>'IBS Action Plan 20170131'!P59</f>
        <v>0</v>
      </c>
      <c r="P59" s="494">
        <f>'IBS Action Plan 20170131'!Q59</f>
        <v>0</v>
      </c>
      <c r="Q59" s="494">
        <f>'IBS Action Plan 20170131'!R59</f>
        <v>12</v>
      </c>
      <c r="R59" s="494">
        <f>'IBS Action Plan 20170131'!S59</f>
        <v>415</v>
      </c>
      <c r="S59" s="494">
        <f>'IBS Action Plan 20170131'!T59</f>
        <v>1530</v>
      </c>
      <c r="T59" s="494">
        <f>'IBS Action Plan 20170131'!U59</f>
        <v>1622</v>
      </c>
      <c r="U59" s="494">
        <f>'IBS Action Plan 20170131'!V59</f>
        <v>3579</v>
      </c>
      <c r="V59" s="494">
        <f>'IBS Action Plan 20170131'!W59</f>
        <v>332</v>
      </c>
      <c r="W59" s="494">
        <f>'IBS Action Plan 20170131'!X59</f>
        <v>3247</v>
      </c>
      <c r="X59" s="495">
        <f>'IBS Action Plan 20170131'!Y59</f>
        <v>0</v>
      </c>
      <c r="Y59" s="114">
        <f t="shared" si="0"/>
        <v>31102</v>
      </c>
    </row>
    <row r="60" spans="1:25" x14ac:dyDescent="0.3">
      <c r="A60" s="724" t="s">
        <v>9</v>
      </c>
      <c r="B60" s="497" t="s">
        <v>6</v>
      </c>
      <c r="C60" s="163">
        <f>'IBS Action Plan 20170131'!C60</f>
        <v>44</v>
      </c>
      <c r="D60" s="163">
        <f>'IBS Action Plan 20170131'!D60</f>
        <v>805</v>
      </c>
      <c r="E60" s="163">
        <f>'IBS Action Plan 20170131'!E60</f>
        <v>2236</v>
      </c>
      <c r="F60" s="163">
        <f>'IBS Action Plan 20170131'!F60</f>
        <v>3023</v>
      </c>
      <c r="G60" s="163">
        <f>'IBS Action Plan 20170131'!G60</f>
        <v>6108</v>
      </c>
      <c r="H60" s="163">
        <f>'IBS Action Plan 20170131'!H60</f>
        <v>4596.5</v>
      </c>
      <c r="I60" s="163">
        <f>'IBS Action Plan 20170131'!I60</f>
        <v>0.75253765553372631</v>
      </c>
      <c r="J60" s="163">
        <f>'IBS Action Plan 20170131'!J60</f>
        <v>149</v>
      </c>
      <c r="K60" s="163">
        <f>'IBS Action Plan 20170131'!K60</f>
        <v>138</v>
      </c>
      <c r="L60" s="163">
        <f>'IBS Action Plan 20170131'!L60</f>
        <v>6119</v>
      </c>
      <c r="M60" s="163" t="str">
        <f>'IBS Action Plan 20170131'!N60</f>
        <v>2017-23</v>
      </c>
      <c r="N60" s="498"/>
      <c r="O60" s="494">
        <f>'IBS Action Plan 20170131'!P60</f>
        <v>0</v>
      </c>
      <c r="P60" s="494">
        <f>'IBS Action Plan 20170131'!Q60</f>
        <v>0</v>
      </c>
      <c r="Q60" s="494">
        <f>'IBS Action Plan 20170131'!R60</f>
        <v>0</v>
      </c>
      <c r="R60" s="494">
        <f>'IBS Action Plan 20170131'!S60</f>
        <v>0</v>
      </c>
      <c r="S60" s="494">
        <f>'IBS Action Plan 20170131'!T60</f>
        <v>0</v>
      </c>
      <c r="T60" s="494">
        <f>'IBS Action Plan 20170131'!U60</f>
        <v>0</v>
      </c>
      <c r="U60" s="494">
        <f>'IBS Action Plan 20170131'!V60</f>
        <v>0</v>
      </c>
      <c r="V60" s="494">
        <f>'IBS Action Plan 20170131'!W60</f>
        <v>0</v>
      </c>
      <c r="W60" s="494">
        <f>'IBS Action Plan 20170131'!X60</f>
        <v>0</v>
      </c>
      <c r="X60" s="495">
        <f>'IBS Action Plan 20170131'!Y60</f>
        <v>0</v>
      </c>
      <c r="Y60" s="113">
        <f t="shared" si="0"/>
        <v>6257</v>
      </c>
    </row>
    <row r="61" spans="1:25" x14ac:dyDescent="0.3">
      <c r="A61" s="724"/>
      <c r="B61" s="497" t="s">
        <v>38</v>
      </c>
      <c r="C61" s="163">
        <f>'IBS Action Plan 20170131'!C61</f>
        <v>117</v>
      </c>
      <c r="D61" s="163">
        <f>'IBS Action Plan 20170131'!D61</f>
        <v>17</v>
      </c>
      <c r="E61" s="163">
        <f>'IBS Action Plan 20170131'!E61</f>
        <v>128</v>
      </c>
      <c r="F61" s="163">
        <f>'IBS Action Plan 20170131'!F61</f>
        <v>169</v>
      </c>
      <c r="G61" s="163">
        <f>'IBS Action Plan 20170131'!G61</f>
        <v>431</v>
      </c>
      <c r="H61" s="163">
        <f>'IBS Action Plan 20170131'!H61</f>
        <v>346.5</v>
      </c>
      <c r="I61" s="163">
        <f>'IBS Action Plan 20170131'!I61</f>
        <v>0.80394431554524359</v>
      </c>
      <c r="J61" s="163">
        <f>'IBS Action Plan 20170131'!J61</f>
        <v>36</v>
      </c>
      <c r="K61" s="163">
        <f>'IBS Action Plan 20170131'!K61</f>
        <v>5</v>
      </c>
      <c r="L61" s="163">
        <f>'IBS Action Plan 20170131'!L61</f>
        <v>462</v>
      </c>
      <c r="M61" s="163" t="str">
        <f>'IBS Action Plan 20170131'!N61</f>
        <v>2017-23</v>
      </c>
      <c r="N61" s="498"/>
      <c r="O61" s="494">
        <f>'IBS Action Plan 20170131'!P61</f>
        <v>0</v>
      </c>
      <c r="P61" s="494">
        <f>'IBS Action Plan 20170131'!Q61</f>
        <v>0</v>
      </c>
      <c r="Q61" s="494">
        <f>'IBS Action Plan 20170131'!R61</f>
        <v>0</v>
      </c>
      <c r="R61" s="494">
        <f>'IBS Action Plan 20170131'!S61</f>
        <v>0</v>
      </c>
      <c r="S61" s="494">
        <f>'IBS Action Plan 20170131'!T61</f>
        <v>0</v>
      </c>
      <c r="T61" s="494">
        <f>'IBS Action Plan 20170131'!U61</f>
        <v>0</v>
      </c>
      <c r="U61" s="494">
        <f>'IBS Action Plan 20170131'!V61</f>
        <v>0</v>
      </c>
      <c r="V61" s="494">
        <f>'IBS Action Plan 20170131'!W61</f>
        <v>0</v>
      </c>
      <c r="W61" s="494">
        <f>'IBS Action Plan 20170131'!X61</f>
        <v>0</v>
      </c>
      <c r="X61" s="495">
        <f>'IBS Action Plan 20170131'!Y61</f>
        <v>0</v>
      </c>
      <c r="Y61" s="177">
        <f t="shared" si="0"/>
        <v>467</v>
      </c>
    </row>
    <row r="62" spans="1:25" x14ac:dyDescent="0.3">
      <c r="A62" s="724"/>
      <c r="B62" s="503" t="s">
        <v>19</v>
      </c>
      <c r="C62" s="163">
        <f>'IBS Action Plan 20170131'!C62</f>
        <v>0</v>
      </c>
      <c r="D62" s="163">
        <f>'IBS Action Plan 20170131'!D62</f>
        <v>40</v>
      </c>
      <c r="E62" s="163">
        <f>'IBS Action Plan 20170131'!E62</f>
        <v>278</v>
      </c>
      <c r="F62" s="163">
        <f>'IBS Action Plan 20170131'!F62</f>
        <v>1335</v>
      </c>
      <c r="G62" s="163">
        <f>'IBS Action Plan 20170131'!G62</f>
        <v>1653</v>
      </c>
      <c r="H62" s="163">
        <f>'IBS Action Plan 20170131'!H62</f>
        <v>985.5</v>
      </c>
      <c r="I62" s="163">
        <f>'IBS Action Plan 20170131'!I62</f>
        <v>0.59618874773139741</v>
      </c>
      <c r="J62" s="163">
        <f>'IBS Action Plan 20170131'!J62</f>
        <v>32</v>
      </c>
      <c r="K62" s="163">
        <f>'IBS Action Plan 20170131'!K62</f>
        <v>148</v>
      </c>
      <c r="L62" s="163">
        <f>'IBS Action Plan 20170131'!L62</f>
        <v>1537</v>
      </c>
      <c r="M62" s="163" t="str">
        <f>'IBS Action Plan 20170131'!N62</f>
        <v>2017-23</v>
      </c>
      <c r="N62" s="498"/>
      <c r="O62" s="494" t="str">
        <f>'IBS Action Plan 20170131'!P62</f>
        <v>Legal</v>
      </c>
      <c r="P62" s="494">
        <f>'IBS Action Plan 20170131'!Q62</f>
        <v>0</v>
      </c>
      <c r="Q62" s="494">
        <f>'IBS Action Plan 20170131'!R62</f>
        <v>0</v>
      </c>
      <c r="R62" s="494">
        <f>'IBS Action Plan 20170131'!S62</f>
        <v>7</v>
      </c>
      <c r="S62" s="494">
        <f>'IBS Action Plan 20170131'!T62</f>
        <v>67</v>
      </c>
      <c r="T62" s="494">
        <f>'IBS Action Plan 20170131'!U62</f>
        <v>0</v>
      </c>
      <c r="U62" s="494">
        <f>'IBS Action Plan 20170131'!V62</f>
        <v>74</v>
      </c>
      <c r="V62" s="494">
        <f>'IBS Action Plan 20170131'!W62</f>
        <v>8</v>
      </c>
      <c r="W62" s="494">
        <f>'IBS Action Plan 20170131'!X62</f>
        <v>66</v>
      </c>
      <c r="X62" s="495" t="str">
        <f>'IBS Action Plan 20170131'!Y62</f>
        <v>A14/A17 NDU Biodiversity; Road Access, practicality</v>
      </c>
      <c r="Y62" s="177">
        <f t="shared" si="0"/>
        <v>1759</v>
      </c>
    </row>
    <row r="63" spans="1:25" x14ac:dyDescent="0.3">
      <c r="A63" s="724"/>
      <c r="B63" s="506" t="s">
        <v>20</v>
      </c>
      <c r="C63" s="163">
        <f>'IBS Action Plan 20170131'!C63</f>
        <v>0</v>
      </c>
      <c r="D63" s="163">
        <f>'IBS Action Plan 20170131'!D63</f>
        <v>825</v>
      </c>
      <c r="E63" s="163">
        <f>'IBS Action Plan 20170131'!E63</f>
        <v>2328</v>
      </c>
      <c r="F63" s="163">
        <f>'IBS Action Plan 20170131'!F63</f>
        <v>2241</v>
      </c>
      <c r="G63" s="163">
        <f>'IBS Action Plan 20170131'!G63</f>
        <v>5394</v>
      </c>
      <c r="H63" s="163">
        <f>'IBS Action Plan 20170131'!H63</f>
        <v>4273.5</v>
      </c>
      <c r="I63" s="163">
        <f>'IBS Action Plan 20170131'!I63</f>
        <v>0.7922691879866518</v>
      </c>
      <c r="J63" s="163">
        <f>'IBS Action Plan 20170131'!J63</f>
        <v>111</v>
      </c>
      <c r="K63" s="163">
        <f>'IBS Action Plan 20170131'!K63</f>
        <v>1286</v>
      </c>
      <c r="L63" s="163">
        <f>'IBS Action Plan 20170131'!L63</f>
        <v>4219</v>
      </c>
      <c r="M63" s="163" t="str">
        <f>'IBS Action Plan 20170131'!N63</f>
        <v>2017-21</v>
      </c>
      <c r="N63" s="498"/>
      <c r="O63" s="494" t="str">
        <f>'IBS Action Plan 20170131'!P63</f>
        <v>Legal</v>
      </c>
      <c r="P63" s="494">
        <f>'IBS Action Plan 20170131'!Q63</f>
        <v>4</v>
      </c>
      <c r="Q63" s="494">
        <f>'IBS Action Plan 20170131'!R63</f>
        <v>431</v>
      </c>
      <c r="R63" s="494">
        <f>'IBS Action Plan 20170131'!S63</f>
        <v>1389</v>
      </c>
      <c r="S63" s="494">
        <f>'IBS Action Plan 20170131'!T63</f>
        <v>2926</v>
      </c>
      <c r="T63" s="494">
        <f>'IBS Action Plan 20170131'!U63</f>
        <v>18</v>
      </c>
      <c r="U63" s="494">
        <f>'IBS Action Plan 20170131'!V63</f>
        <v>4768</v>
      </c>
      <c r="V63" s="494">
        <f>'IBS Action Plan 20170131'!W63</f>
        <v>2092</v>
      </c>
      <c r="W63" s="494">
        <f>'IBS Action Plan 20170131'!X63</f>
        <v>2676</v>
      </c>
      <c r="X63" s="495" t="str">
        <f>'IBS Action Plan 20170131'!Y63</f>
        <v>A14/A17 NDU Biodiversity; Road Access, practicality</v>
      </c>
      <c r="Y63" s="177">
        <f t="shared" si="0"/>
        <v>10273</v>
      </c>
    </row>
    <row r="64" spans="1:25" x14ac:dyDescent="0.3">
      <c r="A64" s="724"/>
      <c r="B64" s="503" t="s">
        <v>27</v>
      </c>
      <c r="C64" s="163">
        <f>'IBS Action Plan 20170131'!C64</f>
        <v>0</v>
      </c>
      <c r="D64" s="163">
        <f>'IBS Action Plan 20170131'!D64</f>
        <v>79</v>
      </c>
      <c r="E64" s="163">
        <f>'IBS Action Plan 20170131'!E64</f>
        <v>1681</v>
      </c>
      <c r="F64" s="163">
        <f>'IBS Action Plan 20170131'!F64</f>
        <v>1373</v>
      </c>
      <c r="G64" s="163">
        <f>'IBS Action Plan 20170131'!G64</f>
        <v>3133</v>
      </c>
      <c r="H64" s="163">
        <f>'IBS Action Plan 20170131'!H64</f>
        <v>2446.5</v>
      </c>
      <c r="I64" s="163">
        <f>'IBS Action Plan 20170131'!I64</f>
        <v>0.78088094478135972</v>
      </c>
      <c r="J64" s="163">
        <f>'IBS Action Plan 20170131'!J64</f>
        <v>136</v>
      </c>
      <c r="K64" s="163">
        <f>'IBS Action Plan 20170131'!K64</f>
        <v>706</v>
      </c>
      <c r="L64" s="163">
        <f>'IBS Action Plan 20170131'!L64</f>
        <v>2563</v>
      </c>
      <c r="M64" s="163" t="str">
        <f>'IBS Action Plan 20170131'!N64</f>
        <v>2021-23</v>
      </c>
      <c r="N64" s="498"/>
      <c r="O64" s="494" t="str">
        <f>'IBS Action Plan 20170131'!P64</f>
        <v>Legal</v>
      </c>
      <c r="P64" s="494">
        <f>'IBS Action Plan 20170131'!Q64</f>
        <v>0</v>
      </c>
      <c r="Q64" s="494">
        <f>'IBS Action Plan 20170131'!R64</f>
        <v>38</v>
      </c>
      <c r="R64" s="494">
        <f>'IBS Action Plan 20170131'!S64</f>
        <v>125</v>
      </c>
      <c r="S64" s="494">
        <f>'IBS Action Plan 20170131'!T64</f>
        <v>352</v>
      </c>
      <c r="T64" s="494">
        <f>'IBS Action Plan 20170131'!U64</f>
        <v>6</v>
      </c>
      <c r="U64" s="494">
        <f>'IBS Action Plan 20170131'!V64</f>
        <v>521</v>
      </c>
      <c r="V64" s="494">
        <f>'IBS Action Plan 20170131'!W64</f>
        <v>205</v>
      </c>
      <c r="W64" s="494">
        <f>'IBS Action Plan 20170131'!X64</f>
        <v>316</v>
      </c>
      <c r="X64" s="495" t="str">
        <f>'IBS Action Plan 20170131'!Y64</f>
        <v>A14/A17 NDU Biodiversity; Road Access, practicality</v>
      </c>
      <c r="Y64" s="177">
        <f t="shared" si="0"/>
        <v>3790</v>
      </c>
    </row>
    <row r="65" spans="1:25" x14ac:dyDescent="0.3">
      <c r="A65" s="724"/>
      <c r="B65" s="503" t="s">
        <v>28</v>
      </c>
      <c r="C65" s="163">
        <f>'IBS Action Plan 20170131'!C65</f>
        <v>0</v>
      </c>
      <c r="D65" s="163">
        <f>'IBS Action Plan 20170131'!D65</f>
        <v>0</v>
      </c>
      <c r="E65" s="163">
        <f>'IBS Action Plan 20170131'!E65</f>
        <v>66</v>
      </c>
      <c r="F65" s="163">
        <f>'IBS Action Plan 20170131'!F65</f>
        <v>674</v>
      </c>
      <c r="G65" s="163">
        <f>'IBS Action Plan 20170131'!G65</f>
        <v>740</v>
      </c>
      <c r="H65" s="163">
        <f>'IBS Action Plan 20170131'!H65</f>
        <v>403</v>
      </c>
      <c r="I65" s="163">
        <f>'IBS Action Plan 20170131'!I65</f>
        <v>0.54459459459459458</v>
      </c>
      <c r="J65" s="163">
        <f>'IBS Action Plan 20170131'!J65</f>
        <v>44</v>
      </c>
      <c r="K65" s="163">
        <f>'IBS Action Plan 20170131'!K65</f>
        <v>140</v>
      </c>
      <c r="L65" s="163">
        <f>'IBS Action Plan 20170131'!L65</f>
        <v>644</v>
      </c>
      <c r="M65" s="163" t="str">
        <f>'IBS Action Plan 20170131'!N65</f>
        <v>2021-23</v>
      </c>
      <c r="N65" s="498"/>
      <c r="O65" s="494">
        <f>'IBS Action Plan 20170131'!P65</f>
        <v>0</v>
      </c>
      <c r="P65" s="494">
        <f>'IBS Action Plan 20170131'!Q65</f>
        <v>0</v>
      </c>
      <c r="Q65" s="494">
        <f>'IBS Action Plan 20170131'!R65</f>
        <v>0</v>
      </c>
      <c r="R65" s="494">
        <f>'IBS Action Plan 20170131'!S65</f>
        <v>0</v>
      </c>
      <c r="S65" s="494">
        <f>'IBS Action Plan 20170131'!T65</f>
        <v>0</v>
      </c>
      <c r="T65" s="494">
        <f>'IBS Action Plan 20170131'!U65</f>
        <v>0</v>
      </c>
      <c r="U65" s="494">
        <f>'IBS Action Plan 20170131'!V65</f>
        <v>0</v>
      </c>
      <c r="V65" s="494">
        <f>'IBS Action Plan 20170131'!W65</f>
        <v>0</v>
      </c>
      <c r="W65" s="494">
        <f>'IBS Action Plan 20170131'!X65</f>
        <v>0</v>
      </c>
      <c r="X65" s="495">
        <f>'IBS Action Plan 20170131'!Y65</f>
        <v>0</v>
      </c>
      <c r="Y65" s="177">
        <f t="shared" si="0"/>
        <v>784</v>
      </c>
    </row>
    <row r="66" spans="1:25" x14ac:dyDescent="0.3">
      <c r="A66" s="724"/>
      <c r="B66" s="503" t="s">
        <v>21</v>
      </c>
      <c r="C66" s="163">
        <f>'IBS Action Plan 20170131'!C66</f>
        <v>0</v>
      </c>
      <c r="D66" s="163">
        <f>'IBS Action Plan 20170131'!D66</f>
        <v>0</v>
      </c>
      <c r="E66" s="163">
        <f>'IBS Action Plan 20170131'!E66</f>
        <v>1706</v>
      </c>
      <c r="F66" s="163">
        <f>'IBS Action Plan 20170131'!F66</f>
        <v>1244</v>
      </c>
      <c r="G66" s="163">
        <f>'IBS Action Plan 20170131'!G66</f>
        <v>2950</v>
      </c>
      <c r="H66" s="163">
        <f>'IBS Action Plan 20170131'!H66</f>
        <v>2328</v>
      </c>
      <c r="I66" s="163">
        <f>'IBS Action Plan 20170131'!I66</f>
        <v>0.78915254237288135</v>
      </c>
      <c r="J66" s="163">
        <f>'IBS Action Plan 20170131'!J66</f>
        <v>153</v>
      </c>
      <c r="K66" s="163">
        <f>'IBS Action Plan 20170131'!K66</f>
        <v>460</v>
      </c>
      <c r="L66" s="163">
        <f>'IBS Action Plan 20170131'!L66</f>
        <v>2643</v>
      </c>
      <c r="M66" s="163" t="str">
        <f>'IBS Action Plan 20170131'!N66</f>
        <v>2021-23</v>
      </c>
      <c r="N66" s="498"/>
      <c r="O66" s="494">
        <f>'IBS Action Plan 20170131'!P66</f>
        <v>0</v>
      </c>
      <c r="P66" s="494">
        <f>'IBS Action Plan 20170131'!Q66</f>
        <v>0</v>
      </c>
      <c r="Q66" s="494">
        <f>'IBS Action Plan 20170131'!R66</f>
        <v>0</v>
      </c>
      <c r="R66" s="494">
        <f>'IBS Action Plan 20170131'!S66</f>
        <v>0</v>
      </c>
      <c r="S66" s="494">
        <f>'IBS Action Plan 20170131'!T66</f>
        <v>0</v>
      </c>
      <c r="T66" s="494">
        <f>'IBS Action Plan 20170131'!U66</f>
        <v>0</v>
      </c>
      <c r="U66" s="494">
        <f>'IBS Action Plan 20170131'!V66</f>
        <v>0</v>
      </c>
      <c r="V66" s="494">
        <f>'IBS Action Plan 20170131'!W66</f>
        <v>0</v>
      </c>
      <c r="W66" s="494">
        <f>'IBS Action Plan 20170131'!X66</f>
        <v>0</v>
      </c>
      <c r="X66" s="495">
        <f>'IBS Action Plan 20170131'!Y66</f>
        <v>0</v>
      </c>
      <c r="Y66" s="177">
        <f t="shared" si="0"/>
        <v>3103</v>
      </c>
    </row>
    <row r="67" spans="1:25" x14ac:dyDescent="0.3">
      <c r="A67" s="724"/>
      <c r="B67" s="503" t="s">
        <v>22</v>
      </c>
      <c r="C67" s="163">
        <f>'IBS Action Plan 20170131'!C67</f>
        <v>0</v>
      </c>
      <c r="D67" s="163">
        <f>'IBS Action Plan 20170131'!D67</f>
        <v>8</v>
      </c>
      <c r="E67" s="163">
        <f>'IBS Action Plan 20170131'!E67</f>
        <v>0</v>
      </c>
      <c r="F67" s="163">
        <f>'IBS Action Plan 20170131'!F67</f>
        <v>5</v>
      </c>
      <c r="G67" s="163">
        <f>'IBS Action Plan 20170131'!G67</f>
        <v>13</v>
      </c>
      <c r="H67" s="163">
        <f>'IBS Action Plan 20170131'!H67</f>
        <v>10.5</v>
      </c>
      <c r="I67" s="163">
        <f>'IBS Action Plan 20170131'!I67</f>
        <v>0.80769230769230771</v>
      </c>
      <c r="J67" s="163">
        <f>'IBS Action Plan 20170131'!J67</f>
        <v>54</v>
      </c>
      <c r="K67" s="163">
        <f>'IBS Action Plan 20170131'!K67</f>
        <v>7</v>
      </c>
      <c r="L67" s="163">
        <f>'IBS Action Plan 20170131'!L67</f>
        <v>60</v>
      </c>
      <c r="M67" s="163" t="str">
        <f>'IBS Action Plan 20170131'!N67</f>
        <v>2020</v>
      </c>
      <c r="N67" s="498"/>
      <c r="O67" s="494">
        <f>'IBS Action Plan 20170131'!P67</f>
        <v>0</v>
      </c>
      <c r="P67" s="494">
        <f>'IBS Action Plan 20170131'!Q67</f>
        <v>0</v>
      </c>
      <c r="Q67" s="494">
        <f>'IBS Action Plan 20170131'!R67</f>
        <v>0</v>
      </c>
      <c r="R67" s="494">
        <f>'IBS Action Plan 20170131'!S67</f>
        <v>0</v>
      </c>
      <c r="S67" s="494">
        <f>'IBS Action Plan 20170131'!T67</f>
        <v>0</v>
      </c>
      <c r="T67" s="494">
        <f>'IBS Action Plan 20170131'!U67</f>
        <v>0</v>
      </c>
      <c r="U67" s="494">
        <f>'IBS Action Plan 20170131'!V67</f>
        <v>0</v>
      </c>
      <c r="V67" s="494">
        <f>'IBS Action Plan 20170131'!W67</f>
        <v>0</v>
      </c>
      <c r="W67" s="494">
        <f>'IBS Action Plan 20170131'!X67</f>
        <v>0</v>
      </c>
      <c r="X67" s="495">
        <f>'IBS Action Plan 20170131'!Y67</f>
        <v>0</v>
      </c>
      <c r="Y67" s="177">
        <f t="shared" si="0"/>
        <v>67</v>
      </c>
    </row>
    <row r="68" spans="1:25" x14ac:dyDescent="0.3">
      <c r="A68" s="724"/>
      <c r="B68" s="503" t="s">
        <v>23</v>
      </c>
      <c r="C68" s="163">
        <f>'IBS Action Plan 20170131'!C68</f>
        <v>144</v>
      </c>
      <c r="D68" s="163">
        <f>'IBS Action Plan 20170131'!D68</f>
        <v>339</v>
      </c>
      <c r="E68" s="163">
        <f>'IBS Action Plan 20170131'!E68</f>
        <v>1054</v>
      </c>
      <c r="F68" s="163">
        <f>'IBS Action Plan 20170131'!F68</f>
        <v>1007</v>
      </c>
      <c r="G68" s="163">
        <f>'IBS Action Plan 20170131'!G68</f>
        <v>2544</v>
      </c>
      <c r="H68" s="163">
        <f>'IBS Action Plan 20170131'!H68</f>
        <v>2040.5</v>
      </c>
      <c r="I68" s="163">
        <f>'IBS Action Plan 20170131'!I68</f>
        <v>0.80208333333333337</v>
      </c>
      <c r="J68" s="163">
        <f>'IBS Action Plan 20170131'!J68</f>
        <v>61</v>
      </c>
      <c r="K68" s="163">
        <f>'IBS Action Plan 20170131'!K68</f>
        <v>86</v>
      </c>
      <c r="L68" s="163">
        <f>'IBS Action Plan 20170131'!L68</f>
        <v>2519</v>
      </c>
      <c r="M68" s="163" t="str">
        <f>'IBS Action Plan 20170131'!N68</f>
        <v>2016-23</v>
      </c>
      <c r="N68" s="498"/>
      <c r="O68" s="494">
        <f>'IBS Action Plan 20170131'!P68</f>
        <v>0</v>
      </c>
      <c r="P68" s="494">
        <f>'IBS Action Plan 20170131'!Q68</f>
        <v>0</v>
      </c>
      <c r="Q68" s="494">
        <f>'IBS Action Plan 20170131'!R68</f>
        <v>0</v>
      </c>
      <c r="R68" s="494">
        <f>'IBS Action Plan 20170131'!S68</f>
        <v>0</v>
      </c>
      <c r="S68" s="494">
        <f>'IBS Action Plan 20170131'!T68</f>
        <v>0</v>
      </c>
      <c r="T68" s="494">
        <f>'IBS Action Plan 20170131'!U68</f>
        <v>0</v>
      </c>
      <c r="U68" s="494">
        <f>'IBS Action Plan 20170131'!V68</f>
        <v>0</v>
      </c>
      <c r="V68" s="494">
        <f>'IBS Action Plan 20170131'!W68</f>
        <v>0</v>
      </c>
      <c r="W68" s="494">
        <f>'IBS Action Plan 20170131'!X68</f>
        <v>0</v>
      </c>
      <c r="X68" s="495">
        <f>'IBS Action Plan 20170131'!Y68</f>
        <v>0</v>
      </c>
      <c r="Y68" s="177">
        <f t="shared" si="0"/>
        <v>2605</v>
      </c>
    </row>
    <row r="69" spans="1:25" x14ac:dyDescent="0.3">
      <c r="A69" s="724"/>
      <c r="B69" s="503" t="s">
        <v>24</v>
      </c>
      <c r="C69" s="163">
        <f>'IBS Action Plan 20170131'!C69</f>
        <v>0</v>
      </c>
      <c r="D69" s="163">
        <f>'IBS Action Plan 20170131'!D69</f>
        <v>0</v>
      </c>
      <c r="E69" s="163">
        <f>'IBS Action Plan 20170131'!E69</f>
        <v>82</v>
      </c>
      <c r="F69" s="163">
        <f>'IBS Action Plan 20170131'!F69</f>
        <v>169</v>
      </c>
      <c r="G69" s="163">
        <f>'IBS Action Plan 20170131'!G69</f>
        <v>251</v>
      </c>
      <c r="H69" s="163">
        <f>'IBS Action Plan 20170131'!H69</f>
        <v>166.5</v>
      </c>
      <c r="I69" s="163">
        <f>'IBS Action Plan 20170131'!I69</f>
        <v>0.6633466135458167</v>
      </c>
      <c r="J69" s="163">
        <f>'IBS Action Plan 20170131'!J69</f>
        <v>140</v>
      </c>
      <c r="K69" s="163">
        <f>'IBS Action Plan 20170131'!K69</f>
        <v>2</v>
      </c>
      <c r="L69" s="163">
        <f>'IBS Action Plan 20170131'!L69</f>
        <v>389</v>
      </c>
      <c r="M69" s="163" t="str">
        <f>'IBS Action Plan 20170131'!N69</f>
        <v>2020</v>
      </c>
      <c r="N69" s="498"/>
      <c r="O69" s="494">
        <f>'IBS Action Plan 20170131'!P69</f>
        <v>0</v>
      </c>
      <c r="P69" s="494">
        <f>'IBS Action Plan 20170131'!Q69</f>
        <v>0</v>
      </c>
      <c r="Q69" s="494">
        <f>'IBS Action Plan 20170131'!R69</f>
        <v>0</v>
      </c>
      <c r="R69" s="494">
        <f>'IBS Action Plan 20170131'!S69</f>
        <v>0</v>
      </c>
      <c r="S69" s="494">
        <f>'IBS Action Plan 20170131'!T69</f>
        <v>0</v>
      </c>
      <c r="T69" s="494">
        <f>'IBS Action Plan 20170131'!U69</f>
        <v>0</v>
      </c>
      <c r="U69" s="494">
        <f>'IBS Action Plan 20170131'!V69</f>
        <v>0</v>
      </c>
      <c r="V69" s="494">
        <f>'IBS Action Plan 20170131'!W69</f>
        <v>0</v>
      </c>
      <c r="W69" s="494">
        <f>'IBS Action Plan 20170131'!X69</f>
        <v>0</v>
      </c>
      <c r="X69" s="495">
        <f>'IBS Action Plan 20170131'!Y69</f>
        <v>0</v>
      </c>
      <c r="Y69" s="177">
        <f t="shared" si="0"/>
        <v>391</v>
      </c>
    </row>
    <row r="70" spans="1:25" x14ac:dyDescent="0.3">
      <c r="A70" s="724"/>
      <c r="B70" s="503" t="s">
        <v>25</v>
      </c>
      <c r="C70" s="163">
        <f>'IBS Action Plan 20170131'!C70</f>
        <v>0</v>
      </c>
      <c r="D70" s="163">
        <f>'IBS Action Plan 20170131'!D70</f>
        <v>0</v>
      </c>
      <c r="E70" s="163">
        <f>'IBS Action Plan 20170131'!E70</f>
        <v>15</v>
      </c>
      <c r="F70" s="163">
        <f>'IBS Action Plan 20170131'!F70</f>
        <v>102</v>
      </c>
      <c r="G70" s="163">
        <f>'IBS Action Plan 20170131'!G70</f>
        <v>117</v>
      </c>
      <c r="H70" s="163">
        <f>'IBS Action Plan 20170131'!H70</f>
        <v>66</v>
      </c>
      <c r="I70" s="163">
        <f>'IBS Action Plan 20170131'!I70</f>
        <v>0.5641025641025641</v>
      </c>
      <c r="J70" s="163">
        <f>'IBS Action Plan 20170131'!J70</f>
        <v>65</v>
      </c>
      <c r="K70" s="163">
        <f>'IBS Action Plan 20170131'!K70</f>
        <v>0</v>
      </c>
      <c r="L70" s="163">
        <f>'IBS Action Plan 20170131'!L70</f>
        <v>182</v>
      </c>
      <c r="M70" s="163" t="str">
        <f>'IBS Action Plan 20170131'!N70</f>
        <v>2020</v>
      </c>
      <c r="N70" s="498"/>
      <c r="O70" s="494">
        <f>'IBS Action Plan 20170131'!P70</f>
        <v>0</v>
      </c>
      <c r="P70" s="494">
        <f>'IBS Action Plan 20170131'!Q70</f>
        <v>0</v>
      </c>
      <c r="Q70" s="494">
        <f>'IBS Action Plan 20170131'!R70</f>
        <v>0</v>
      </c>
      <c r="R70" s="494">
        <f>'IBS Action Plan 20170131'!S70</f>
        <v>0</v>
      </c>
      <c r="S70" s="494">
        <f>'IBS Action Plan 20170131'!T70</f>
        <v>0</v>
      </c>
      <c r="T70" s="494">
        <f>'IBS Action Plan 20170131'!U70</f>
        <v>0</v>
      </c>
      <c r="U70" s="494">
        <f>'IBS Action Plan 20170131'!V70</f>
        <v>0</v>
      </c>
      <c r="V70" s="494">
        <f>'IBS Action Plan 20170131'!W70</f>
        <v>0</v>
      </c>
      <c r="W70" s="494">
        <f>'IBS Action Plan 20170131'!X70</f>
        <v>0</v>
      </c>
      <c r="X70" s="495">
        <f>'IBS Action Plan 20170131'!Y70</f>
        <v>0</v>
      </c>
      <c r="Y70" s="177">
        <f t="shared" si="0"/>
        <v>182</v>
      </c>
    </row>
    <row r="71" spans="1:25" x14ac:dyDescent="0.3">
      <c r="A71" s="724"/>
      <c r="B71" s="503" t="s">
        <v>26</v>
      </c>
      <c r="C71" s="163">
        <f>'IBS Action Plan 20170131'!C71</f>
        <v>59</v>
      </c>
      <c r="D71" s="163">
        <f>'IBS Action Plan 20170131'!D71</f>
        <v>130</v>
      </c>
      <c r="E71" s="163">
        <f>'IBS Action Plan 20170131'!E71</f>
        <v>126</v>
      </c>
      <c r="F71" s="163">
        <f>'IBS Action Plan 20170131'!F71</f>
        <v>286</v>
      </c>
      <c r="G71" s="163">
        <f>'IBS Action Plan 20170131'!G71</f>
        <v>601</v>
      </c>
      <c r="H71" s="163">
        <f>'IBS Action Plan 20170131'!H71</f>
        <v>458</v>
      </c>
      <c r="I71" s="163">
        <f>'IBS Action Plan 20170131'!I71</f>
        <v>0.76206322795341097</v>
      </c>
      <c r="J71" s="163">
        <f>'IBS Action Plan 20170131'!J71</f>
        <v>52</v>
      </c>
      <c r="K71" s="163">
        <f>'IBS Action Plan 20170131'!K71</f>
        <v>63</v>
      </c>
      <c r="L71" s="163">
        <f>'IBS Action Plan 20170131'!L71</f>
        <v>590</v>
      </c>
      <c r="M71" s="163" t="str">
        <f>'IBS Action Plan 20170131'!N71</f>
        <v>2017-19</v>
      </c>
      <c r="N71" s="498"/>
      <c r="O71" s="494">
        <f>'IBS Action Plan 20170131'!P71</f>
        <v>0</v>
      </c>
      <c r="P71" s="494">
        <f>'IBS Action Plan 20170131'!Q71</f>
        <v>0</v>
      </c>
      <c r="Q71" s="494">
        <f>'IBS Action Plan 20170131'!R71</f>
        <v>0</v>
      </c>
      <c r="R71" s="494">
        <f>'IBS Action Plan 20170131'!S71</f>
        <v>0</v>
      </c>
      <c r="S71" s="494">
        <f>'IBS Action Plan 20170131'!T71</f>
        <v>0</v>
      </c>
      <c r="T71" s="494">
        <f>'IBS Action Plan 20170131'!U71</f>
        <v>0</v>
      </c>
      <c r="U71" s="494">
        <f>'IBS Action Plan 20170131'!V71</f>
        <v>0</v>
      </c>
      <c r="V71" s="494">
        <f>'IBS Action Plan 20170131'!W71</f>
        <v>0</v>
      </c>
      <c r="W71" s="494">
        <f>'IBS Action Plan 20170131'!X71</f>
        <v>0</v>
      </c>
      <c r="X71" s="495">
        <f>'IBS Action Plan 20170131'!Y71</f>
        <v>0</v>
      </c>
      <c r="Y71" s="110">
        <f t="shared" si="0"/>
        <v>653</v>
      </c>
    </row>
    <row r="72" spans="1:25" ht="15" thickBot="1" x14ac:dyDescent="0.35">
      <c r="A72" s="507" t="s">
        <v>14</v>
      </c>
      <c r="B72" s="508" t="s">
        <v>206</v>
      </c>
      <c r="C72" s="509">
        <f>'IBS Action Plan 20170131'!C72</f>
        <v>364</v>
      </c>
      <c r="D72" s="509">
        <f>'IBS Action Plan 20170131'!D72</f>
        <v>2243</v>
      </c>
      <c r="E72" s="509">
        <f>'IBS Action Plan 20170131'!E72</f>
        <v>9700</v>
      </c>
      <c r="F72" s="509">
        <f>'IBS Action Plan 20170131'!F72</f>
        <v>11628</v>
      </c>
      <c r="G72" s="509">
        <f>'IBS Action Plan 20170131'!G72</f>
        <v>23935</v>
      </c>
      <c r="H72" s="509">
        <f>'IBS Action Plan 20170131'!H72</f>
        <v>18121</v>
      </c>
      <c r="I72" s="509">
        <f>'IBS Action Plan 20170131'!I72</f>
        <v>0.75709212450386465</v>
      </c>
      <c r="J72" s="509">
        <f>'IBS Action Plan 20170131'!J72</f>
        <v>1033</v>
      </c>
      <c r="K72" s="509">
        <f>'IBS Action Plan 20170131'!K72</f>
        <v>3041</v>
      </c>
      <c r="L72" s="509">
        <f>'IBS Action Plan 20170131'!L72</f>
        <v>21927</v>
      </c>
      <c r="M72" s="509">
        <f>'IBS Action Plan 20170131'!N72</f>
        <v>0</v>
      </c>
      <c r="N72" s="510"/>
      <c r="O72" s="511">
        <f>'IBS Action Plan 20170131'!P72</f>
        <v>0</v>
      </c>
      <c r="P72" s="511">
        <f>'IBS Action Plan 20170131'!Q72</f>
        <v>4</v>
      </c>
      <c r="Q72" s="511">
        <f>'IBS Action Plan 20170131'!R72</f>
        <v>469</v>
      </c>
      <c r="R72" s="511">
        <f>'IBS Action Plan 20170131'!S72</f>
        <v>1521</v>
      </c>
      <c r="S72" s="511">
        <f>'IBS Action Plan 20170131'!T72</f>
        <v>3345</v>
      </c>
      <c r="T72" s="511">
        <f>'IBS Action Plan 20170131'!U72</f>
        <v>24</v>
      </c>
      <c r="U72" s="511">
        <f>'IBS Action Plan 20170131'!V72</f>
        <v>5363</v>
      </c>
      <c r="V72" s="511">
        <f>'IBS Action Plan 20170131'!W72</f>
        <v>2305</v>
      </c>
      <c r="W72" s="511">
        <f>'IBS Action Plan 20170131'!X72</f>
        <v>3058</v>
      </c>
      <c r="X72" s="512">
        <f>'IBS Action Plan 20170131'!Y72</f>
        <v>0</v>
      </c>
      <c r="Y72" s="273">
        <f t="shared" si="0"/>
        <v>30331</v>
      </c>
    </row>
    <row r="73" spans="1:25" ht="15" thickBot="1" x14ac:dyDescent="0.35">
      <c r="A73" s="405" t="s">
        <v>7</v>
      </c>
      <c r="B73" s="406" t="s">
        <v>207</v>
      </c>
      <c r="C73" s="79">
        <f>'IBS Action Plan 20170131'!C73</f>
        <v>423</v>
      </c>
      <c r="D73" s="79">
        <f>'IBS Action Plan 20170131'!D73</f>
        <v>3302</v>
      </c>
      <c r="E73" s="79">
        <f>'IBS Action Plan 20170131'!E73</f>
        <v>13988</v>
      </c>
      <c r="F73" s="79">
        <f>'IBS Action Plan 20170131'!F73</f>
        <v>32879</v>
      </c>
      <c r="G73" s="79">
        <f>'IBS Action Plan 20170131'!G73</f>
        <v>50592</v>
      </c>
      <c r="H73" s="79">
        <f>'IBS Action Plan 20170131'!H73</f>
        <v>34152.5</v>
      </c>
      <c r="I73" s="79">
        <f>'IBS Action Plan 20170131'!I73</f>
        <v>0.67505732131562302</v>
      </c>
      <c r="J73" s="79">
        <f>'IBS Action Plan 20170131'!J73</f>
        <v>14232</v>
      </c>
      <c r="K73" s="79">
        <f>'IBS Action Plan 20170131'!K73</f>
        <v>8619</v>
      </c>
      <c r="L73" s="79">
        <f>'IBS Action Plan 20170131'!L73</f>
        <v>56208</v>
      </c>
      <c r="M73" s="79">
        <f>'IBS Action Plan 20170131'!N73</f>
        <v>0</v>
      </c>
      <c r="N73" s="483"/>
      <c r="O73" s="458">
        <f>'IBS Action Plan 20170131'!P73</f>
        <v>0</v>
      </c>
      <c r="P73" s="458">
        <f>'IBS Action Plan 20170131'!Q73</f>
        <v>4</v>
      </c>
      <c r="Q73" s="458">
        <f>'IBS Action Plan 20170131'!R73</f>
        <v>654</v>
      </c>
      <c r="R73" s="458">
        <f>'IBS Action Plan 20170131'!S73</f>
        <v>1938</v>
      </c>
      <c r="S73" s="458">
        <f>'IBS Action Plan 20170131'!T73</f>
        <v>4947</v>
      </c>
      <c r="T73" s="458">
        <f>'IBS Action Plan 20170131'!U73</f>
        <v>1863</v>
      </c>
      <c r="U73" s="458">
        <f>'IBS Action Plan 20170131'!V73</f>
        <v>9406</v>
      </c>
      <c r="V73" s="458">
        <f>'IBS Action Plan 20170131'!W73</f>
        <v>2822.6</v>
      </c>
      <c r="W73" s="458">
        <f>'IBS Action Plan 20170131'!X73</f>
        <v>6583.4</v>
      </c>
      <c r="X73" s="577">
        <f>'IBS Action Plan 20170131'!Y73</f>
        <v>0</v>
      </c>
      <c r="Y73" s="575">
        <f t="shared" si="0"/>
        <v>74230</v>
      </c>
    </row>
    <row r="74" spans="1:25" ht="15" thickBot="1" x14ac:dyDescent="0.35">
      <c r="A74" s="412"/>
      <c r="B74" s="413" t="s">
        <v>190</v>
      </c>
      <c r="C74" s="79">
        <f>'IBS Action Plan 20170131'!C74</f>
        <v>116325</v>
      </c>
      <c r="D74" s="79">
        <f>'IBS Action Plan 20170131'!D74</f>
        <v>908050</v>
      </c>
      <c r="E74" s="79">
        <f>'IBS Action Plan 20170131'!E74</f>
        <v>3846700</v>
      </c>
      <c r="F74" s="79">
        <f>'IBS Action Plan 20170131'!F74</f>
        <v>9041725</v>
      </c>
      <c r="G74" s="79">
        <f>'IBS Action Plan 20170131'!G74</f>
        <v>13912800</v>
      </c>
      <c r="H74" s="79">
        <f>'IBS Action Plan 20170131'!H74</f>
        <v>9391937.5</v>
      </c>
      <c r="I74" s="79">
        <f>'IBS Action Plan 20170131'!I74</f>
        <v>0</v>
      </c>
      <c r="J74" s="79">
        <f>'IBS Action Plan 20170131'!J74</f>
        <v>0</v>
      </c>
      <c r="K74" s="79">
        <f>'IBS Action Plan 20170131'!K74</f>
        <v>0</v>
      </c>
      <c r="L74" s="79">
        <f>'IBS Action Plan 20170131'!L74</f>
        <v>0</v>
      </c>
      <c r="M74" s="79">
        <f>'IBS Action Plan 20170131'!N74</f>
        <v>0</v>
      </c>
      <c r="N74" s="314"/>
      <c r="O74" s="458">
        <f>'IBS Action Plan 20170131'!P74</f>
        <v>0</v>
      </c>
      <c r="P74" s="458">
        <f>'IBS Action Plan 20170131'!Q74</f>
        <v>0</v>
      </c>
      <c r="Q74" s="458">
        <f>'IBS Action Plan 20170131'!R74</f>
        <v>0</v>
      </c>
      <c r="R74" s="458">
        <f>'IBS Action Plan 20170131'!S74</f>
        <v>0</v>
      </c>
      <c r="S74" s="458">
        <f>'IBS Action Plan 20170131'!T74</f>
        <v>0</v>
      </c>
      <c r="T74" s="458">
        <f>'IBS Action Plan 20170131'!U74</f>
        <v>0</v>
      </c>
      <c r="U74" s="458">
        <f>'IBS Action Plan 20170131'!V74</f>
        <v>0</v>
      </c>
      <c r="V74" s="458">
        <f>'IBS Action Plan 20170131'!W74</f>
        <v>0</v>
      </c>
      <c r="W74" s="458">
        <f>'IBS Action Plan 20170131'!X74</f>
        <v>0</v>
      </c>
      <c r="X74" s="576">
        <f>'IBS Action Plan 20170131'!Y74</f>
        <v>0</v>
      </c>
      <c r="Y74" s="109"/>
    </row>
    <row r="75" spans="1:25" ht="15" thickBot="1" x14ac:dyDescent="0.35">
      <c r="A75" s="484" t="s">
        <v>7</v>
      </c>
      <c r="B75" s="482" t="s">
        <v>208</v>
      </c>
      <c r="C75" s="264">
        <f>'IBS Action Plan 20170131'!C75</f>
        <v>2876.7891420000001</v>
      </c>
      <c r="D75" s="264">
        <f>'IBS Action Plan 20170131'!D75</f>
        <v>4669.1656970000004</v>
      </c>
      <c r="E75" s="264">
        <f>'IBS Action Plan 20170131'!E75</f>
        <v>23543.411986999999</v>
      </c>
      <c r="F75" s="264">
        <f>'IBS Action Plan 20170131'!F75</f>
        <v>44489.588660000001</v>
      </c>
      <c r="G75" s="264">
        <f>'IBS Action Plan 20170131'!G75</f>
        <v>75578.955485999992</v>
      </c>
      <c r="H75" s="264">
        <f>'IBS Action Plan 20170131'!H75</f>
        <v>53334.161156000002</v>
      </c>
      <c r="I75" s="264">
        <f>'IBS Action Plan 20170131'!I75</f>
        <v>0.70567475844356509</v>
      </c>
      <c r="J75" s="264">
        <f>'IBS Action Plan 20170131'!J75</f>
        <v>28282.732049999999</v>
      </c>
      <c r="K75" s="264">
        <f>'IBS Action Plan 20170131'!K75</f>
        <v>15095.090694</v>
      </c>
      <c r="L75" s="264">
        <f>'IBS Action Plan 20170131'!L75</f>
        <v>88769.596841999999</v>
      </c>
      <c r="M75" s="264">
        <f>'IBS Action Plan 20170131'!N75</f>
        <v>0</v>
      </c>
      <c r="N75" s="485"/>
      <c r="O75" s="486">
        <f>'IBS Action Plan 20170131'!P75</f>
        <v>0</v>
      </c>
      <c r="P75" s="486">
        <f>'IBS Action Plan 20170131'!Q75</f>
        <v>588.45888500000001</v>
      </c>
      <c r="Q75" s="486">
        <f>'IBS Action Plan 20170131'!R75</f>
        <v>797.29147399999999</v>
      </c>
      <c r="R75" s="486">
        <f>'IBS Action Plan 20170131'!S75</f>
        <v>12849.175846</v>
      </c>
      <c r="S75" s="486">
        <f>'IBS Action Plan 20170131'!T75</f>
        <v>10704.714630999999</v>
      </c>
      <c r="T75" s="486">
        <f>'IBS Action Plan 20170131'!U75</f>
        <v>7460.7981950000003</v>
      </c>
      <c r="U75" s="654">
        <f>'IBS Action Plan 20170131'!V75</f>
        <v>32400.439031000002</v>
      </c>
      <c r="V75" s="486">
        <f>'IBS Action Plan 20170131'!W75</f>
        <v>13124.239030000001</v>
      </c>
      <c r="W75" s="486">
        <f>'IBS Action Plan 20170131'!X75</f>
        <v>19276.199999999997</v>
      </c>
      <c r="X75" s="153"/>
      <c r="Y75" s="270">
        <f>+G75+J75+U75</f>
        <v>136262.126567</v>
      </c>
    </row>
    <row r="76" spans="1:25" ht="15" hidden="1" thickBot="1" x14ac:dyDescent="0.35">
      <c r="A76" s="481"/>
      <c r="B76" s="482" t="s">
        <v>190</v>
      </c>
      <c r="C76" s="162">
        <f>'IBS Action Plan 20170131'!C76</f>
        <v>791117.01405</v>
      </c>
      <c r="D76" s="162">
        <f>'IBS Action Plan 20170131'!D76</f>
        <v>1284020.5666749999</v>
      </c>
      <c r="E76" s="162">
        <f>'IBS Action Plan 20170131'!E76</f>
        <v>6474438.2964249998</v>
      </c>
      <c r="F76" s="162">
        <f>'IBS Action Plan 20170131'!F76</f>
        <v>12234636.8815</v>
      </c>
      <c r="G76" s="162">
        <f>'IBS Action Plan 20170131'!G76</f>
        <v>20784212.758649997</v>
      </c>
      <c r="H76" s="162">
        <f>'IBS Action Plan 20170131'!H76</f>
        <v>14666894.317899998</v>
      </c>
      <c r="I76" s="162">
        <f>'IBS Action Plan 20170131'!I76</f>
        <v>0</v>
      </c>
      <c r="J76" s="162">
        <f>'IBS Action Plan 20170131'!J76</f>
        <v>0</v>
      </c>
      <c r="K76" s="162">
        <f>'IBS Action Plan 20170131'!K76</f>
        <v>0</v>
      </c>
      <c r="L76" s="162">
        <f>'IBS Action Plan 20170131'!L76</f>
        <v>0</v>
      </c>
      <c r="M76" s="162">
        <f>'IBS Action Plan 20170131'!N76</f>
        <v>0</v>
      </c>
      <c r="N76" s="157"/>
      <c r="O76" s="233"/>
      <c r="P76" s="232"/>
      <c r="Q76" s="232"/>
      <c r="R76" s="232"/>
      <c r="S76" s="232"/>
      <c r="T76" s="232"/>
      <c r="U76" s="232"/>
      <c r="V76" s="232"/>
      <c r="W76" s="232"/>
      <c r="X76" s="153"/>
      <c r="Y76" s="146"/>
    </row>
    <row r="77" spans="1:25" x14ac:dyDescent="0.3">
      <c r="A77" s="153"/>
      <c r="B77" s="153"/>
      <c r="C77" s="153"/>
      <c r="D77" s="153"/>
      <c r="E77" s="153"/>
      <c r="F77" s="153"/>
      <c r="G77" s="153"/>
      <c r="H77" s="153"/>
      <c r="I77" s="153"/>
      <c r="J77" s="153"/>
      <c r="K77" s="153"/>
      <c r="L77" s="153"/>
      <c r="M77" s="50"/>
      <c r="N77" s="153"/>
      <c r="O77" s="153"/>
      <c r="P77" s="153"/>
      <c r="Q77" s="153"/>
      <c r="R77" s="153"/>
      <c r="S77" s="153"/>
      <c r="T77" s="153"/>
      <c r="U77" s="153"/>
      <c r="V77" s="178"/>
      <c r="W77" s="153"/>
      <c r="X77" s="153"/>
      <c r="Y77" s="153">
        <f>'IBS Action Plan 20170131'!Z76</f>
        <v>0</v>
      </c>
    </row>
    <row r="78" spans="1:25" ht="15" hidden="1" x14ac:dyDescent="0.25">
      <c r="A78" s="153">
        <f>'IBS Action Plan 20170131'!A77</f>
        <v>0</v>
      </c>
      <c r="B78" s="153">
        <f>'IBS Action Plan 20170131'!B77</f>
        <v>0</v>
      </c>
      <c r="C78" s="153">
        <f>'IBS Action Plan 20170131'!C77</f>
        <v>0</v>
      </c>
      <c r="D78" s="153">
        <f>'IBS Action Plan 20170131'!D77</f>
        <v>0</v>
      </c>
      <c r="E78" s="153">
        <f>'IBS Action Plan 20170131'!E77</f>
        <v>0</v>
      </c>
      <c r="F78" s="153">
        <f>'IBS Action Plan 20170131'!F77</f>
        <v>0</v>
      </c>
      <c r="G78" s="153">
        <f>'IBS Action Plan 20170131'!G77</f>
        <v>0</v>
      </c>
      <c r="H78" s="153">
        <f>'IBS Action Plan 20170131'!H77</f>
        <v>0</v>
      </c>
      <c r="I78" s="153">
        <f>'IBS Action Plan 20170131'!I77</f>
        <v>0</v>
      </c>
      <c r="J78" s="153">
        <f>'IBS Action Plan 20170131'!J77</f>
        <v>0</v>
      </c>
      <c r="K78" s="153">
        <f>'IBS Action Plan 20170131'!K77</f>
        <v>0</v>
      </c>
      <c r="L78" s="153">
        <f>'IBS Action Plan 20170131'!L77</f>
        <v>0</v>
      </c>
      <c r="M78" s="153">
        <f>'IBS Action Plan 20170131'!N77</f>
        <v>0</v>
      </c>
      <c r="N78" s="153">
        <f>'IBS Action Plan 20170131'!O77</f>
        <v>0</v>
      </c>
      <c r="O78" s="153">
        <f>'IBS Action Plan 20170131'!P77</f>
        <v>0</v>
      </c>
      <c r="P78" s="153">
        <f>'IBS Action Plan 20170131'!Q77</f>
        <v>0</v>
      </c>
      <c r="Q78" s="153">
        <f>'IBS Action Plan 20170131'!R77</f>
        <v>0</v>
      </c>
      <c r="R78" s="153">
        <f>'IBS Action Plan 20170131'!S77</f>
        <v>0</v>
      </c>
      <c r="S78" s="153">
        <f>'IBS Action Plan 20170131'!T77</f>
        <v>0</v>
      </c>
      <c r="T78" s="153">
        <f>'IBS Action Plan 20170131'!U77</f>
        <v>0</v>
      </c>
      <c r="U78" s="153">
        <f>'IBS Action Plan 20170131'!V77</f>
        <v>0</v>
      </c>
      <c r="V78" s="153">
        <f>'IBS Action Plan 20170131'!W77</f>
        <v>0</v>
      </c>
      <c r="W78" s="153">
        <f>'IBS Action Plan 20170131'!X77</f>
        <v>0</v>
      </c>
      <c r="X78" s="153">
        <f>'IBS Action Plan 20170131'!Y77</f>
        <v>0</v>
      </c>
      <c r="Y78" s="153">
        <f>'IBS Action Plan 20170131'!Z77</f>
        <v>0</v>
      </c>
    </row>
  </sheetData>
  <mergeCells count="14">
    <mergeCell ref="A60:A71"/>
    <mergeCell ref="A4:M4"/>
    <mergeCell ref="O4:X4"/>
    <mergeCell ref="A5:A7"/>
    <mergeCell ref="B5:B7"/>
    <mergeCell ref="C5:F5"/>
    <mergeCell ref="O5:O7"/>
    <mergeCell ref="P5:T5"/>
    <mergeCell ref="A9:A12"/>
    <mergeCell ref="A14:A22"/>
    <mergeCell ref="A24:A26"/>
    <mergeCell ref="A30:A40"/>
    <mergeCell ref="A42:A58"/>
    <mergeCell ref="U5:W5"/>
  </mergeCells>
  <pageMargins left="0.7" right="0.7" top="0.75" bottom="0.75" header="0.3" footer="0.3"/>
  <pageSetup scale="9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1"/>
  <sheetViews>
    <sheetView topLeftCell="B1" workbookViewId="0">
      <selection activeCell="Y77" sqref="Y77"/>
    </sheetView>
  </sheetViews>
  <sheetFormatPr defaultRowHeight="14.4" x14ac:dyDescent="0.3"/>
  <cols>
    <col min="1" max="1" width="15.33203125" hidden="1" customWidth="1"/>
    <col min="2" max="2" width="29.6640625" customWidth="1"/>
    <col min="3" max="3" width="9.109375" customWidth="1"/>
    <col min="4" max="4" width="10.5546875" customWidth="1"/>
    <col min="5" max="5" width="11.109375" customWidth="1"/>
    <col min="6" max="6" width="11.5546875" customWidth="1"/>
    <col min="7" max="7" width="12.109375" bestFit="1" customWidth="1"/>
    <col min="8" max="8" width="11" hidden="1" customWidth="1"/>
    <col min="9" max="9" width="8.88671875" hidden="1" customWidth="1"/>
    <col min="10" max="10" width="15" customWidth="1"/>
    <col min="11" max="11" width="11.5546875" hidden="1" customWidth="1"/>
    <col min="12" max="12" width="12.88671875" hidden="1" customWidth="1"/>
    <col min="13" max="13" width="15.33203125" hidden="1" customWidth="1"/>
    <col min="14" max="14" width="8.88671875" hidden="1" customWidth="1"/>
    <col min="15" max="15" width="9.5546875" hidden="1" customWidth="1"/>
    <col min="16" max="20" width="8.88671875" hidden="1" customWidth="1"/>
    <col min="21" max="21" width="11.6640625" customWidth="1"/>
    <col min="22" max="22" width="8.88671875" hidden="1" customWidth="1"/>
    <col min="23" max="23" width="12.88671875" hidden="1" customWidth="1"/>
    <col min="24" max="24" width="55.44140625" hidden="1" customWidth="1"/>
    <col min="25" max="25" width="15.6640625" bestFit="1" customWidth="1"/>
    <col min="28" max="28" width="13.5546875" bestFit="1" customWidth="1"/>
    <col min="29" max="29" width="26.44140625" bestFit="1" customWidth="1"/>
  </cols>
  <sheetData>
    <row r="1" spans="1:25" x14ac:dyDescent="0.3">
      <c r="A1" s="6" t="s">
        <v>64</v>
      </c>
      <c r="B1" s="6" t="str">
        <f>'IBS Action Plan 20170131'!A1</f>
        <v>Spruce Beetle Action Plan - Omineca Region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50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</row>
    <row r="2" spans="1:25" x14ac:dyDescent="0.3">
      <c r="A2" s="296">
        <v>42766</v>
      </c>
      <c r="B2" s="296">
        <f>'IBS Action Plan 20170131'!A2</f>
        <v>42766</v>
      </c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50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</row>
    <row r="3" spans="1:25" ht="15" thickBot="1" x14ac:dyDescent="0.35">
      <c r="A3" s="153"/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50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</row>
    <row r="4" spans="1:25" x14ac:dyDescent="0.3">
      <c r="A4" s="672" t="s">
        <v>192</v>
      </c>
      <c r="B4" s="673"/>
      <c r="C4" s="673"/>
      <c r="D4" s="673"/>
      <c r="E4" s="673"/>
      <c r="F4" s="673"/>
      <c r="G4" s="673"/>
      <c r="H4" s="673"/>
      <c r="I4" s="673"/>
      <c r="J4" s="673"/>
      <c r="K4" s="673"/>
      <c r="L4" s="673"/>
      <c r="M4" s="673"/>
      <c r="N4" s="32"/>
      <c r="O4" s="742" t="s">
        <v>41</v>
      </c>
      <c r="P4" s="673"/>
      <c r="Q4" s="673"/>
      <c r="R4" s="673"/>
      <c r="S4" s="673"/>
      <c r="T4" s="673"/>
      <c r="U4" s="673"/>
      <c r="V4" s="673"/>
      <c r="W4" s="673"/>
      <c r="X4" s="743"/>
      <c r="Y4" s="11" t="s">
        <v>7</v>
      </c>
    </row>
    <row r="5" spans="1:25" x14ac:dyDescent="0.3">
      <c r="A5" s="684" t="s">
        <v>36</v>
      </c>
      <c r="B5" s="682" t="s">
        <v>202</v>
      </c>
      <c r="C5" s="679" t="s">
        <v>0</v>
      </c>
      <c r="D5" s="680"/>
      <c r="E5" s="680"/>
      <c r="F5" s="681"/>
      <c r="G5" s="155" t="s">
        <v>7</v>
      </c>
      <c r="H5" s="211" t="s">
        <v>197</v>
      </c>
      <c r="I5" s="211" t="s">
        <v>212</v>
      </c>
      <c r="J5" s="211" t="s">
        <v>164</v>
      </c>
      <c r="K5" s="155" t="s">
        <v>195</v>
      </c>
      <c r="L5" s="155" t="s">
        <v>13</v>
      </c>
      <c r="M5" s="155" t="s">
        <v>18</v>
      </c>
      <c r="N5" s="130"/>
      <c r="O5" s="682" t="s">
        <v>65</v>
      </c>
      <c r="P5" s="679" t="s">
        <v>0</v>
      </c>
      <c r="Q5" s="680"/>
      <c r="R5" s="680"/>
      <c r="S5" s="680"/>
      <c r="T5" s="680"/>
      <c r="U5" s="7"/>
      <c r="V5" s="68" t="s">
        <v>12</v>
      </c>
      <c r="W5" s="33" t="s">
        <v>13</v>
      </c>
      <c r="X5" s="557" t="s">
        <v>43</v>
      </c>
      <c r="Y5" s="740" t="str">
        <f>'IBS Action Plan 20170131'!Z5:Z7</f>
        <v>Total Area AOS + Monitor + Constrained (ha)</v>
      </c>
    </row>
    <row r="6" spans="1:25" x14ac:dyDescent="0.3">
      <c r="A6" s="685"/>
      <c r="B6" s="683"/>
      <c r="C6" s="36" t="s">
        <v>5</v>
      </c>
      <c r="D6" s="154" t="s">
        <v>3</v>
      </c>
      <c r="E6" s="154" t="s">
        <v>2</v>
      </c>
      <c r="F6" s="149" t="s">
        <v>1</v>
      </c>
      <c r="G6" s="154" t="s">
        <v>8</v>
      </c>
      <c r="H6" s="212" t="s">
        <v>175</v>
      </c>
      <c r="I6" s="513" t="s">
        <v>213</v>
      </c>
      <c r="J6" s="212" t="s">
        <v>179</v>
      </c>
      <c r="K6" s="154" t="s">
        <v>194</v>
      </c>
      <c r="L6" s="154" t="s">
        <v>194</v>
      </c>
      <c r="M6" s="194" t="s">
        <v>39</v>
      </c>
      <c r="N6" s="130"/>
      <c r="O6" s="683"/>
      <c r="P6" s="36" t="s">
        <v>5</v>
      </c>
      <c r="Q6" s="154" t="s">
        <v>3</v>
      </c>
      <c r="R6" s="154" t="s">
        <v>2</v>
      </c>
      <c r="S6" s="154" t="s">
        <v>1</v>
      </c>
      <c r="T6" s="154" t="s">
        <v>4</v>
      </c>
      <c r="U6" s="156" t="s">
        <v>7</v>
      </c>
      <c r="V6" s="36" t="s">
        <v>8</v>
      </c>
      <c r="W6" s="156" t="s">
        <v>8</v>
      </c>
      <c r="X6" s="558" t="s">
        <v>42</v>
      </c>
      <c r="Y6" s="741"/>
    </row>
    <row r="7" spans="1:25" x14ac:dyDescent="0.3">
      <c r="A7" s="685"/>
      <c r="B7" s="683"/>
      <c r="C7" s="36" t="s">
        <v>11</v>
      </c>
      <c r="D7" s="154" t="s">
        <v>11</v>
      </c>
      <c r="E7" s="154" t="s">
        <v>11</v>
      </c>
      <c r="F7" s="149" t="s">
        <v>11</v>
      </c>
      <c r="G7" s="154" t="s">
        <v>191</v>
      </c>
      <c r="H7" s="212" t="s">
        <v>199</v>
      </c>
      <c r="I7" s="513" t="s">
        <v>214</v>
      </c>
      <c r="J7" s="154" t="s">
        <v>193</v>
      </c>
      <c r="K7" s="154" t="s">
        <v>176</v>
      </c>
      <c r="L7" s="154" t="s">
        <v>176</v>
      </c>
      <c r="M7" s="194" t="s">
        <v>10</v>
      </c>
      <c r="N7" s="130"/>
      <c r="O7" s="683"/>
      <c r="P7" s="36" t="s">
        <v>11</v>
      </c>
      <c r="Q7" s="154" t="s">
        <v>11</v>
      </c>
      <c r="R7" s="154" t="s">
        <v>11</v>
      </c>
      <c r="S7" s="154" t="s">
        <v>11</v>
      </c>
      <c r="T7" s="154" t="s">
        <v>11</v>
      </c>
      <c r="U7" s="156" t="s">
        <v>11</v>
      </c>
      <c r="V7" s="36" t="s">
        <v>11</v>
      </c>
      <c r="W7" s="156" t="s">
        <v>11</v>
      </c>
      <c r="X7" s="558"/>
      <c r="Y7" s="741"/>
    </row>
    <row r="8" spans="1:25" ht="15" thickBot="1" x14ac:dyDescent="0.35">
      <c r="A8" s="456"/>
      <c r="B8" s="455"/>
      <c r="C8" s="36" t="s">
        <v>183</v>
      </c>
      <c r="D8" s="154" t="s">
        <v>184</v>
      </c>
      <c r="E8" s="154" t="s">
        <v>185</v>
      </c>
      <c r="F8" s="149" t="s">
        <v>186</v>
      </c>
      <c r="G8" s="154" t="s">
        <v>219</v>
      </c>
      <c r="H8" s="212"/>
      <c r="I8" s="212"/>
      <c r="J8" s="154" t="s">
        <v>187</v>
      </c>
      <c r="K8" s="154"/>
      <c r="L8" s="154"/>
      <c r="M8" s="194"/>
      <c r="N8" s="130"/>
      <c r="O8" s="455"/>
      <c r="P8" s="36"/>
      <c r="Q8" s="154"/>
      <c r="R8" s="154"/>
      <c r="S8" s="154"/>
      <c r="T8" s="154"/>
      <c r="U8" s="156"/>
      <c r="V8" s="36"/>
      <c r="W8" s="156"/>
      <c r="X8" s="558"/>
      <c r="Y8" s="156"/>
    </row>
    <row r="9" spans="1:25" hidden="1" x14ac:dyDescent="0.3">
      <c r="A9" s="689" t="s">
        <v>99</v>
      </c>
      <c r="B9" s="56" t="s">
        <v>100</v>
      </c>
      <c r="C9" s="79">
        <v>0</v>
      </c>
      <c r="D9" s="76">
        <v>0</v>
      </c>
      <c r="E9" s="76">
        <v>588</v>
      </c>
      <c r="F9" s="150">
        <v>1346</v>
      </c>
      <c r="G9" s="76">
        <f>'IBS Action Plan 20170131'!G8</f>
        <v>0</v>
      </c>
      <c r="H9" s="479">
        <f t="shared" ref="H9:H41" si="0">C9+D9+E9+F9*0.5</f>
        <v>1261</v>
      </c>
      <c r="I9" s="311">
        <f>IF(G9&lt;1,0,H9/G9)</f>
        <v>0</v>
      </c>
      <c r="J9" s="76">
        <v>5704</v>
      </c>
      <c r="K9" s="148">
        <v>0</v>
      </c>
      <c r="L9" s="148">
        <v>7638</v>
      </c>
      <c r="M9" s="195" t="s">
        <v>101</v>
      </c>
      <c r="N9" s="32"/>
      <c r="O9" s="458" t="s">
        <v>30</v>
      </c>
      <c r="P9" s="79" t="s">
        <v>90</v>
      </c>
      <c r="Q9" s="76" t="s">
        <v>90</v>
      </c>
      <c r="R9" s="76" t="s">
        <v>90</v>
      </c>
      <c r="S9" s="76" t="s">
        <v>90</v>
      </c>
      <c r="T9" s="76">
        <v>425</v>
      </c>
      <c r="U9" s="100">
        <f>SUM(P9:T9)</f>
        <v>425</v>
      </c>
      <c r="V9" s="122">
        <v>170</v>
      </c>
      <c r="W9" s="127">
        <v>255</v>
      </c>
      <c r="X9" s="559" t="s">
        <v>117</v>
      </c>
      <c r="Y9" s="568">
        <f>+G9+J9+U9</f>
        <v>6129</v>
      </c>
    </row>
    <row r="10" spans="1:25" hidden="1" x14ac:dyDescent="0.3">
      <c r="A10" s="690"/>
      <c r="B10" s="104" t="s">
        <v>102</v>
      </c>
      <c r="C10" s="84">
        <v>0</v>
      </c>
      <c r="D10" s="176">
        <v>0</v>
      </c>
      <c r="E10" s="176">
        <v>748</v>
      </c>
      <c r="F10" s="181">
        <v>1530</v>
      </c>
      <c r="G10" s="176">
        <f t="shared" ref="G10:G19" si="1">SUM(C10:F10)</f>
        <v>2278</v>
      </c>
      <c r="H10" s="476">
        <f t="shared" si="0"/>
        <v>1513</v>
      </c>
      <c r="I10" s="312">
        <f t="shared" ref="I10:I73" si="2">IF(G10&lt;1,0,H10/G10)</f>
        <v>0.66417910447761197</v>
      </c>
      <c r="J10" s="176">
        <v>236</v>
      </c>
      <c r="K10" s="151">
        <v>1005</v>
      </c>
      <c r="L10" s="151">
        <v>1509</v>
      </c>
      <c r="M10" s="196" t="s">
        <v>103</v>
      </c>
      <c r="N10" s="130"/>
      <c r="O10" s="299" t="s">
        <v>201</v>
      </c>
      <c r="P10" s="84" t="s">
        <v>90</v>
      </c>
      <c r="Q10" s="176" t="s">
        <v>90</v>
      </c>
      <c r="R10" s="176">
        <v>437</v>
      </c>
      <c r="S10" s="176">
        <v>3554</v>
      </c>
      <c r="T10" s="176">
        <v>4713</v>
      </c>
      <c r="U10" s="168">
        <f t="shared" ref="U10:U11" si="3">SUM(P10:T10)</f>
        <v>8704</v>
      </c>
      <c r="V10" s="125">
        <v>3481.6000000000004</v>
      </c>
      <c r="W10" s="123">
        <v>5222.3999999999996</v>
      </c>
      <c r="X10" s="560" t="s">
        <v>118</v>
      </c>
      <c r="Y10" s="168">
        <f t="shared" ref="Y10:Y73" si="4">+G10+J10+U10</f>
        <v>11218</v>
      </c>
    </row>
    <row r="11" spans="1:25" hidden="1" x14ac:dyDescent="0.3">
      <c r="A11" s="690"/>
      <c r="B11" s="104" t="s">
        <v>104</v>
      </c>
      <c r="C11" s="84">
        <v>0</v>
      </c>
      <c r="D11" s="176">
        <v>711</v>
      </c>
      <c r="E11" s="176">
        <v>5061</v>
      </c>
      <c r="F11" s="181">
        <v>3285</v>
      </c>
      <c r="G11" s="176">
        <f t="shared" si="1"/>
        <v>9057</v>
      </c>
      <c r="H11" s="476">
        <f t="shared" si="0"/>
        <v>7414.5</v>
      </c>
      <c r="I11" s="312">
        <f t="shared" si="2"/>
        <v>0.81864855912553824</v>
      </c>
      <c r="J11" s="176">
        <v>433</v>
      </c>
      <c r="K11" s="151">
        <v>3796</v>
      </c>
      <c r="L11" s="151">
        <v>5694</v>
      </c>
      <c r="M11" s="196" t="s">
        <v>105</v>
      </c>
      <c r="N11" s="130"/>
      <c r="O11" s="299" t="s">
        <v>201</v>
      </c>
      <c r="P11" s="84" t="s">
        <v>90</v>
      </c>
      <c r="Q11" s="176" t="s">
        <v>90</v>
      </c>
      <c r="R11" s="176">
        <v>9563</v>
      </c>
      <c r="S11" s="176">
        <v>2026</v>
      </c>
      <c r="T11" s="176">
        <v>55</v>
      </c>
      <c r="U11" s="168">
        <f t="shared" si="3"/>
        <v>11644</v>
      </c>
      <c r="V11" s="125">
        <v>4657.6000000000004</v>
      </c>
      <c r="W11" s="123">
        <v>6986.4</v>
      </c>
      <c r="X11" s="560" t="s">
        <v>119</v>
      </c>
      <c r="Y11" s="168">
        <f t="shared" si="4"/>
        <v>21134</v>
      </c>
    </row>
    <row r="12" spans="1:25" ht="15" hidden="1" thickBot="1" x14ac:dyDescent="0.35">
      <c r="A12" s="690"/>
      <c r="B12" s="17" t="s">
        <v>106</v>
      </c>
      <c r="C12" s="96">
        <v>0</v>
      </c>
      <c r="D12" s="171">
        <v>0</v>
      </c>
      <c r="E12" s="171">
        <v>0</v>
      </c>
      <c r="F12" s="147">
        <v>2727</v>
      </c>
      <c r="G12" s="171">
        <f t="shared" si="1"/>
        <v>2727</v>
      </c>
      <c r="H12" s="477">
        <f t="shared" si="0"/>
        <v>1363.5</v>
      </c>
      <c r="I12" s="313">
        <f t="shared" si="2"/>
        <v>0.5</v>
      </c>
      <c r="J12" s="171">
        <v>2205</v>
      </c>
      <c r="K12" s="214">
        <v>0</v>
      </c>
      <c r="L12" s="214">
        <v>4932</v>
      </c>
      <c r="M12" s="209" t="s">
        <v>107</v>
      </c>
      <c r="N12" s="130"/>
      <c r="O12" s="519" t="s">
        <v>30</v>
      </c>
      <c r="P12" s="96" t="s">
        <v>90</v>
      </c>
      <c r="Q12" s="171" t="s">
        <v>90</v>
      </c>
      <c r="R12" s="171" t="s">
        <v>90</v>
      </c>
      <c r="S12" s="171" t="s">
        <v>90</v>
      </c>
      <c r="T12" s="171" t="s">
        <v>90</v>
      </c>
      <c r="U12" s="90">
        <f>SUM(P12:T12)</f>
        <v>0</v>
      </c>
      <c r="V12" s="520">
        <v>0</v>
      </c>
      <c r="W12" s="521">
        <v>0</v>
      </c>
      <c r="X12" s="561"/>
      <c r="Y12" s="90">
        <f t="shared" si="4"/>
        <v>4932</v>
      </c>
    </row>
    <row r="13" spans="1:25" x14ac:dyDescent="0.3">
      <c r="A13" s="523" t="s">
        <v>14</v>
      </c>
      <c r="B13" s="524" t="s">
        <v>172</v>
      </c>
      <c r="C13" s="525">
        <f>SUM(C9:C12)</f>
        <v>0</v>
      </c>
      <c r="D13" s="525">
        <f>SUM(D9:D12)</f>
        <v>711</v>
      </c>
      <c r="E13" s="525">
        <f t="shared" ref="E13:F13" si="5">SUM(E9:E12)</f>
        <v>6397</v>
      </c>
      <c r="F13" s="525">
        <f t="shared" si="5"/>
        <v>8888</v>
      </c>
      <c r="G13" s="526">
        <f>SUM(C13:F13)</f>
        <v>15996</v>
      </c>
      <c r="H13" s="525">
        <f t="shared" si="0"/>
        <v>11552</v>
      </c>
      <c r="I13" s="527">
        <f>IF(G13&lt;1,0,H13/G13)</f>
        <v>0.72218054513628405</v>
      </c>
      <c r="J13" s="525">
        <f t="shared" ref="J13:K13" si="6">SUM(J9:J12)</f>
        <v>8578</v>
      </c>
      <c r="K13" s="525">
        <f t="shared" si="6"/>
        <v>4801</v>
      </c>
      <c r="L13" s="525">
        <f>SUM(L9:L12)</f>
        <v>19773</v>
      </c>
      <c r="M13" s="528" t="s">
        <v>108</v>
      </c>
      <c r="N13" s="489"/>
      <c r="O13" s="529" t="s">
        <v>90</v>
      </c>
      <c r="P13" s="530">
        <f>SUM(P9:P12)</f>
        <v>0</v>
      </c>
      <c r="Q13" s="530">
        <f>SUM(Q9:Q12)</f>
        <v>0</v>
      </c>
      <c r="R13" s="530">
        <f t="shared" ref="R13:T13" si="7">SUM(R9:R12)</f>
        <v>10000</v>
      </c>
      <c r="S13" s="530">
        <f t="shared" si="7"/>
        <v>5580</v>
      </c>
      <c r="T13" s="530">
        <f t="shared" si="7"/>
        <v>5193</v>
      </c>
      <c r="U13" s="530">
        <f>SUM(U9:U12)</f>
        <v>20773</v>
      </c>
      <c r="V13" s="530">
        <f>SUM(V9:V12)</f>
        <v>8309.2000000000007</v>
      </c>
      <c r="W13" s="530">
        <f>SUM(W9:W12)</f>
        <v>12463.8</v>
      </c>
      <c r="X13" s="562"/>
      <c r="Y13" s="531">
        <f>+G13+J13+U13</f>
        <v>45347</v>
      </c>
    </row>
    <row r="14" spans="1:25" hidden="1" x14ac:dyDescent="0.3">
      <c r="A14" s="733" t="s">
        <v>156</v>
      </c>
      <c r="B14" s="497" t="s">
        <v>67</v>
      </c>
      <c r="C14" s="333">
        <v>782</v>
      </c>
      <c r="D14" s="333">
        <v>404</v>
      </c>
      <c r="E14" s="333">
        <v>546</v>
      </c>
      <c r="F14" s="333">
        <v>991</v>
      </c>
      <c r="G14" s="333">
        <f t="shared" si="1"/>
        <v>2723</v>
      </c>
      <c r="H14" s="374">
        <f t="shared" si="0"/>
        <v>2227.5</v>
      </c>
      <c r="I14" s="334">
        <f t="shared" si="2"/>
        <v>0.81803158281307387</v>
      </c>
      <c r="J14" s="333">
        <v>297</v>
      </c>
      <c r="K14" s="333">
        <v>205</v>
      </c>
      <c r="L14" s="333">
        <v>2814</v>
      </c>
      <c r="M14" s="361" t="s">
        <v>147</v>
      </c>
      <c r="N14" s="498"/>
      <c r="O14" s="532" t="str">
        <f>'IBS Action Plan 20170131'!P14</f>
        <v xml:space="preserve"> Legal </v>
      </c>
      <c r="P14" s="532">
        <f>'IBS Action Plan 20170131'!Q14</f>
        <v>0</v>
      </c>
      <c r="Q14" s="532">
        <f>'IBS Action Plan 20170131'!R14</f>
        <v>0</v>
      </c>
      <c r="R14" s="532">
        <f>'IBS Action Plan 20170131'!S14</f>
        <v>11</v>
      </c>
      <c r="S14" s="532">
        <f>'IBS Action Plan 20170131'!T14</f>
        <v>20</v>
      </c>
      <c r="T14" s="532">
        <f>'IBS Action Plan 20170131'!U14</f>
        <v>10</v>
      </c>
      <c r="U14" s="532">
        <f>'IBS Action Plan 20170131'!V14</f>
        <v>41</v>
      </c>
      <c r="V14" s="532">
        <f>'IBS Action Plan 20170131'!W14</f>
        <v>3</v>
      </c>
      <c r="W14" s="532">
        <f>'IBS Action Plan 20170131'!X14</f>
        <v>38</v>
      </c>
      <c r="X14" s="532" t="str">
        <f>'IBS Action Plan 20170131'!Y14</f>
        <v xml:space="preserve"> Fieldwork indicates that the Burden beetle areas are inflated, possibly due to inclusion of 2015 polygons that weren't picked up in 2016 AOS  </v>
      </c>
      <c r="Y14" s="75">
        <f t="shared" si="4"/>
        <v>3061</v>
      </c>
    </row>
    <row r="15" spans="1:25" hidden="1" x14ac:dyDescent="0.3">
      <c r="A15" s="733"/>
      <c r="B15" s="497" t="s">
        <v>68</v>
      </c>
      <c r="C15" s="333">
        <v>0</v>
      </c>
      <c r="D15" s="333">
        <v>0</v>
      </c>
      <c r="E15" s="333">
        <v>0</v>
      </c>
      <c r="F15" s="333">
        <v>8</v>
      </c>
      <c r="G15" s="333">
        <f t="shared" si="1"/>
        <v>8</v>
      </c>
      <c r="H15" s="374">
        <f t="shared" si="0"/>
        <v>4</v>
      </c>
      <c r="I15" s="334">
        <f t="shared" si="2"/>
        <v>0.5</v>
      </c>
      <c r="J15" s="333">
        <v>382</v>
      </c>
      <c r="K15" s="333">
        <v>17</v>
      </c>
      <c r="L15" s="333">
        <v>372</v>
      </c>
      <c r="M15" s="361" t="s">
        <v>148</v>
      </c>
      <c r="N15" s="498"/>
      <c r="O15" s="532">
        <f>'IBS Action Plan 20170131'!P15</f>
        <v>0</v>
      </c>
      <c r="P15" s="532">
        <f>'IBS Action Plan 20170131'!Q15</f>
        <v>0</v>
      </c>
      <c r="Q15" s="532">
        <f>'IBS Action Plan 20170131'!R15</f>
        <v>0</v>
      </c>
      <c r="R15" s="532">
        <f>'IBS Action Plan 20170131'!S15</f>
        <v>0</v>
      </c>
      <c r="S15" s="532">
        <f>'IBS Action Plan 20170131'!T15</f>
        <v>0</v>
      </c>
      <c r="T15" s="532">
        <f>'IBS Action Plan 20170131'!U15</f>
        <v>0</v>
      </c>
      <c r="U15" s="532">
        <f>'IBS Action Plan 20170131'!V15</f>
        <v>0</v>
      </c>
      <c r="V15" s="532">
        <f>'IBS Action Plan 20170131'!W15</f>
        <v>0</v>
      </c>
      <c r="W15" s="532">
        <f>'IBS Action Plan 20170131'!X15</f>
        <v>0</v>
      </c>
      <c r="X15" s="532">
        <f>'IBS Action Plan 20170131'!Y15</f>
        <v>0</v>
      </c>
      <c r="Y15" s="75">
        <f t="shared" si="4"/>
        <v>390</v>
      </c>
    </row>
    <row r="16" spans="1:25" hidden="1" x14ac:dyDescent="0.3">
      <c r="A16" s="733"/>
      <c r="B16" s="497" t="s">
        <v>88</v>
      </c>
      <c r="C16" s="333">
        <v>95</v>
      </c>
      <c r="D16" s="333">
        <v>71</v>
      </c>
      <c r="E16" s="333">
        <v>14</v>
      </c>
      <c r="F16" s="333">
        <v>441</v>
      </c>
      <c r="G16" s="333">
        <f t="shared" si="1"/>
        <v>621</v>
      </c>
      <c r="H16" s="374">
        <f t="shared" si="0"/>
        <v>400.5</v>
      </c>
      <c r="I16" s="334">
        <f t="shared" si="2"/>
        <v>0.64492753623188404</v>
      </c>
      <c r="J16" s="333">
        <v>1239</v>
      </c>
      <c r="K16" s="333">
        <v>195</v>
      </c>
      <c r="L16" s="333">
        <v>1665</v>
      </c>
      <c r="M16" s="361" t="s">
        <v>147</v>
      </c>
      <c r="N16" s="498"/>
      <c r="O16" s="532" t="str">
        <f>'IBS Action Plan 20170131'!P16</f>
        <v xml:space="preserve"> Legal </v>
      </c>
      <c r="P16" s="532">
        <f>'IBS Action Plan 20170131'!Q16</f>
        <v>0</v>
      </c>
      <c r="Q16" s="532">
        <f>'IBS Action Plan 20170131'!R16</f>
        <v>0</v>
      </c>
      <c r="R16" s="532">
        <f>'IBS Action Plan 20170131'!S16</f>
        <v>6</v>
      </c>
      <c r="S16" s="532">
        <f>'IBS Action Plan 20170131'!T16</f>
        <v>0</v>
      </c>
      <c r="T16" s="532">
        <f>'IBS Action Plan 20170131'!U16</f>
        <v>42</v>
      </c>
      <c r="U16" s="532">
        <f>'IBS Action Plan 20170131'!V16</f>
        <v>48</v>
      </c>
      <c r="V16" s="532">
        <f>'IBS Action Plan 20170131'!W16</f>
        <v>0</v>
      </c>
      <c r="W16" s="532">
        <f>'IBS Action Plan 20170131'!X16</f>
        <v>48</v>
      </c>
      <c r="X16" s="532" t="str">
        <f>'IBS Action Plan 20170131'!Y16</f>
        <v xml:space="preserve">Recreation Site; isolated; access </v>
      </c>
      <c r="Y16" s="75">
        <f t="shared" si="4"/>
        <v>1908</v>
      </c>
    </row>
    <row r="17" spans="1:25" hidden="1" x14ac:dyDescent="0.3">
      <c r="A17" s="733"/>
      <c r="B17" s="497" t="s">
        <v>69</v>
      </c>
      <c r="C17" s="333">
        <v>3</v>
      </c>
      <c r="D17" s="333">
        <v>0</v>
      </c>
      <c r="E17" s="333">
        <v>4</v>
      </c>
      <c r="F17" s="333">
        <v>24</v>
      </c>
      <c r="G17" s="333">
        <f t="shared" si="1"/>
        <v>31</v>
      </c>
      <c r="H17" s="374">
        <f t="shared" si="0"/>
        <v>19</v>
      </c>
      <c r="I17" s="334">
        <f t="shared" si="2"/>
        <v>0.61290322580645162</v>
      </c>
      <c r="J17" s="333">
        <v>160</v>
      </c>
      <c r="K17" s="333">
        <v>4</v>
      </c>
      <c r="L17" s="333">
        <v>186</v>
      </c>
      <c r="M17" s="361" t="s">
        <v>153</v>
      </c>
      <c r="N17" s="498"/>
      <c r="O17" s="532" t="str">
        <f>'IBS Action Plan 20170131'!P17</f>
        <v xml:space="preserve"> Economic </v>
      </c>
      <c r="P17" s="532">
        <f>'IBS Action Plan 20170131'!Q17</f>
        <v>0</v>
      </c>
      <c r="Q17" s="532">
        <f>'IBS Action Plan 20170131'!R17</f>
        <v>0</v>
      </c>
      <c r="R17" s="532">
        <f>'IBS Action Plan 20170131'!S17</f>
        <v>0</v>
      </c>
      <c r="S17" s="532">
        <f>'IBS Action Plan 20170131'!T17</f>
        <v>0</v>
      </c>
      <c r="T17" s="532">
        <f>'IBS Action Plan 20170131'!U17</f>
        <v>5</v>
      </c>
      <c r="U17" s="532">
        <f>'IBS Action Plan 20170131'!V17</f>
        <v>5</v>
      </c>
      <c r="V17" s="532">
        <f>'IBS Action Plan 20170131'!W17</f>
        <v>0</v>
      </c>
      <c r="W17" s="532">
        <f>'IBS Action Plan 20170131'!X17</f>
        <v>5</v>
      </c>
      <c r="X17" s="532" t="str">
        <f>'IBS Action Plan 20170131'!Y17</f>
        <v xml:space="preserve">Access; isolated </v>
      </c>
      <c r="Y17" s="75">
        <f t="shared" si="4"/>
        <v>196</v>
      </c>
    </row>
    <row r="18" spans="1:25" hidden="1" x14ac:dyDescent="0.3">
      <c r="A18" s="733"/>
      <c r="B18" s="497" t="s">
        <v>70</v>
      </c>
      <c r="C18" s="333">
        <v>0</v>
      </c>
      <c r="D18" s="333">
        <v>10</v>
      </c>
      <c r="E18" s="333">
        <v>25</v>
      </c>
      <c r="F18" s="333">
        <v>0</v>
      </c>
      <c r="G18" s="333">
        <f t="shared" si="1"/>
        <v>35</v>
      </c>
      <c r="H18" s="374">
        <f t="shared" si="0"/>
        <v>35</v>
      </c>
      <c r="I18" s="334">
        <f t="shared" si="2"/>
        <v>1</v>
      </c>
      <c r="J18" s="333">
        <v>612</v>
      </c>
      <c r="K18" s="333">
        <v>100</v>
      </c>
      <c r="L18" s="333">
        <v>547</v>
      </c>
      <c r="M18" s="361" t="s">
        <v>147</v>
      </c>
      <c r="N18" s="498"/>
      <c r="O18" s="532">
        <f>'IBS Action Plan 20170131'!P18</f>
        <v>0</v>
      </c>
      <c r="P18" s="532">
        <f>'IBS Action Plan 20170131'!Q18</f>
        <v>0</v>
      </c>
      <c r="Q18" s="532">
        <f>'IBS Action Plan 20170131'!R18</f>
        <v>0</v>
      </c>
      <c r="R18" s="532">
        <f>'IBS Action Plan 20170131'!S18</f>
        <v>0</v>
      </c>
      <c r="S18" s="532">
        <f>'IBS Action Plan 20170131'!T18</f>
        <v>0</v>
      </c>
      <c r="T18" s="532">
        <f>'IBS Action Plan 20170131'!U18</f>
        <v>0</v>
      </c>
      <c r="U18" s="532">
        <f>'IBS Action Plan 20170131'!V18</f>
        <v>0</v>
      </c>
      <c r="V18" s="532">
        <f>'IBS Action Plan 20170131'!W18</f>
        <v>0</v>
      </c>
      <c r="W18" s="532">
        <f>'IBS Action Plan 20170131'!X18</f>
        <v>0</v>
      </c>
      <c r="X18" s="532">
        <f>'IBS Action Plan 20170131'!Y18</f>
        <v>0</v>
      </c>
      <c r="Y18" s="75">
        <f t="shared" si="4"/>
        <v>647</v>
      </c>
    </row>
    <row r="19" spans="1:25" hidden="1" x14ac:dyDescent="0.3">
      <c r="A19" s="733"/>
      <c r="B19" s="497" t="s">
        <v>71</v>
      </c>
      <c r="C19" s="333">
        <v>0</v>
      </c>
      <c r="D19" s="333">
        <v>0</v>
      </c>
      <c r="E19" s="333">
        <v>143</v>
      </c>
      <c r="F19" s="333">
        <v>208</v>
      </c>
      <c r="G19" s="333">
        <f t="shared" si="1"/>
        <v>351</v>
      </c>
      <c r="H19" s="374">
        <f t="shared" si="0"/>
        <v>247</v>
      </c>
      <c r="I19" s="334">
        <f t="shared" si="2"/>
        <v>0.70370370370370372</v>
      </c>
      <c r="J19" s="333">
        <v>197</v>
      </c>
      <c r="K19" s="333">
        <v>46</v>
      </c>
      <c r="L19" s="333">
        <v>503</v>
      </c>
      <c r="M19" s="361" t="s">
        <v>147</v>
      </c>
      <c r="N19" s="498"/>
      <c r="O19" s="532">
        <f>'IBS Action Plan 20170131'!P19</f>
        <v>0</v>
      </c>
      <c r="P19" s="532">
        <f>'IBS Action Plan 20170131'!Q19</f>
        <v>0</v>
      </c>
      <c r="Q19" s="532">
        <f>'IBS Action Plan 20170131'!R19</f>
        <v>0</v>
      </c>
      <c r="R19" s="532">
        <f>'IBS Action Plan 20170131'!S19</f>
        <v>0</v>
      </c>
      <c r="S19" s="532">
        <f>'IBS Action Plan 20170131'!T19</f>
        <v>0</v>
      </c>
      <c r="T19" s="532">
        <f>'IBS Action Plan 20170131'!U19</f>
        <v>0</v>
      </c>
      <c r="U19" s="532">
        <f>'IBS Action Plan 20170131'!V19</f>
        <v>0</v>
      </c>
      <c r="V19" s="532">
        <f>'IBS Action Plan 20170131'!W19</f>
        <v>0</v>
      </c>
      <c r="W19" s="532">
        <f>'IBS Action Plan 20170131'!X19</f>
        <v>0</v>
      </c>
      <c r="X19" s="532">
        <f>'IBS Action Plan 20170131'!Y19</f>
        <v>0</v>
      </c>
      <c r="Y19" s="75">
        <f t="shared" si="4"/>
        <v>548</v>
      </c>
    </row>
    <row r="20" spans="1:25" hidden="1" x14ac:dyDescent="0.3">
      <c r="A20" s="733"/>
      <c r="B20" s="497" t="s">
        <v>72</v>
      </c>
      <c r="C20" s="333">
        <v>0</v>
      </c>
      <c r="D20" s="333">
        <v>0</v>
      </c>
      <c r="E20" s="333">
        <v>0</v>
      </c>
      <c r="F20" s="333">
        <v>0</v>
      </c>
      <c r="G20" s="333">
        <v>0</v>
      </c>
      <c r="H20" s="374">
        <f t="shared" si="0"/>
        <v>0</v>
      </c>
      <c r="I20" s="334">
        <f t="shared" si="2"/>
        <v>0</v>
      </c>
      <c r="J20" s="333">
        <v>383</v>
      </c>
      <c r="K20" s="333">
        <v>190</v>
      </c>
      <c r="L20" s="333">
        <v>193</v>
      </c>
      <c r="M20" s="361" t="s">
        <v>154</v>
      </c>
      <c r="N20" s="498"/>
      <c r="O20" s="532" t="str">
        <f>'IBS Action Plan 20170131'!P20</f>
        <v xml:space="preserve"> Economic </v>
      </c>
      <c r="P20" s="532">
        <f>'IBS Action Plan 20170131'!Q20</f>
        <v>0</v>
      </c>
      <c r="Q20" s="532">
        <f>'IBS Action Plan 20170131'!R20</f>
        <v>0</v>
      </c>
      <c r="R20" s="532">
        <f>'IBS Action Plan 20170131'!S20</f>
        <v>0</v>
      </c>
      <c r="S20" s="532">
        <f>'IBS Action Plan 20170131'!T20</f>
        <v>0</v>
      </c>
      <c r="T20" s="532">
        <f>'IBS Action Plan 20170131'!U20</f>
        <v>207</v>
      </c>
      <c r="U20" s="532">
        <f>'IBS Action Plan 20170131'!V20</f>
        <v>207</v>
      </c>
      <c r="V20" s="532">
        <f>'IBS Action Plan 20170131'!W20</f>
        <v>69</v>
      </c>
      <c r="W20" s="532">
        <f>'IBS Action Plan 20170131'!X20</f>
        <v>138</v>
      </c>
      <c r="X20" s="532" t="str">
        <f>'IBS Action Plan 20170131'!Y20</f>
        <v xml:space="preserve">Roads, isolated, practicality </v>
      </c>
      <c r="Y20" s="75">
        <f t="shared" si="4"/>
        <v>590</v>
      </c>
    </row>
    <row r="21" spans="1:25" hidden="1" x14ac:dyDescent="0.3">
      <c r="A21" s="733"/>
      <c r="B21" s="497" t="s">
        <v>73</v>
      </c>
      <c r="C21" s="333">
        <v>0</v>
      </c>
      <c r="D21" s="333">
        <v>0</v>
      </c>
      <c r="E21" s="333">
        <v>0</v>
      </c>
      <c r="F21" s="333">
        <v>184</v>
      </c>
      <c r="G21" s="333">
        <f>SUM(C21:F21)</f>
        <v>184</v>
      </c>
      <c r="H21" s="374">
        <f t="shared" si="0"/>
        <v>92</v>
      </c>
      <c r="I21" s="334">
        <f>IF(G21&lt;1,0,H21/G21)</f>
        <v>0.5</v>
      </c>
      <c r="J21" s="333">
        <v>900</v>
      </c>
      <c r="K21" s="333">
        <v>39</v>
      </c>
      <c r="L21" s="333">
        <v>1046</v>
      </c>
      <c r="M21" s="361" t="s">
        <v>147</v>
      </c>
      <c r="N21" s="498"/>
      <c r="O21" s="532">
        <f>'IBS Action Plan 20170131'!P21</f>
        <v>0</v>
      </c>
      <c r="P21" s="532">
        <f>'IBS Action Plan 20170131'!Q21</f>
        <v>0</v>
      </c>
      <c r="Q21" s="532">
        <f>'IBS Action Plan 20170131'!R21</f>
        <v>0</v>
      </c>
      <c r="R21" s="532">
        <f>'IBS Action Plan 20170131'!S21</f>
        <v>0</v>
      </c>
      <c r="S21" s="532">
        <f>'IBS Action Plan 20170131'!T21</f>
        <v>0</v>
      </c>
      <c r="T21" s="532">
        <f>'IBS Action Plan 20170131'!U21</f>
        <v>0</v>
      </c>
      <c r="U21" s="532">
        <f>'IBS Action Plan 20170131'!V21</f>
        <v>0</v>
      </c>
      <c r="V21" s="532">
        <f>'IBS Action Plan 20170131'!W21</f>
        <v>0</v>
      </c>
      <c r="W21" s="532">
        <f>'IBS Action Plan 20170131'!X21</f>
        <v>0</v>
      </c>
      <c r="X21" s="532">
        <f>'IBS Action Plan 20170131'!Y21</f>
        <v>0</v>
      </c>
      <c r="Y21" s="75">
        <f t="shared" si="4"/>
        <v>1084</v>
      </c>
    </row>
    <row r="22" spans="1:25" hidden="1" x14ac:dyDescent="0.3">
      <c r="A22" s="733"/>
      <c r="B22" s="497" t="s">
        <v>74</v>
      </c>
      <c r="C22" s="333">
        <v>0</v>
      </c>
      <c r="D22" s="333">
        <v>8</v>
      </c>
      <c r="E22" s="333">
        <v>8</v>
      </c>
      <c r="F22" s="333">
        <v>293</v>
      </c>
      <c r="G22" s="333">
        <f>SUM(C22:F22)</f>
        <v>309</v>
      </c>
      <c r="H22" s="374">
        <f t="shared" si="0"/>
        <v>162.5</v>
      </c>
      <c r="I22" s="334">
        <f t="shared" si="2"/>
        <v>0.52588996763754048</v>
      </c>
      <c r="J22" s="333">
        <v>226</v>
      </c>
      <c r="K22" s="333">
        <v>41</v>
      </c>
      <c r="L22" s="333">
        <v>495</v>
      </c>
      <c r="M22" s="361" t="s">
        <v>148</v>
      </c>
      <c r="N22" s="498"/>
      <c r="O22" s="532">
        <f>'IBS Action Plan 20170131'!P22</f>
        <v>0</v>
      </c>
      <c r="P22" s="532">
        <f>'IBS Action Plan 20170131'!Q22</f>
        <v>0</v>
      </c>
      <c r="Q22" s="532">
        <f>'IBS Action Plan 20170131'!R22</f>
        <v>0</v>
      </c>
      <c r="R22" s="532">
        <f>'IBS Action Plan 20170131'!S22</f>
        <v>0</v>
      </c>
      <c r="S22" s="532">
        <f>'IBS Action Plan 20170131'!T22</f>
        <v>0</v>
      </c>
      <c r="T22" s="532">
        <f>'IBS Action Plan 20170131'!U22</f>
        <v>0</v>
      </c>
      <c r="U22" s="532">
        <f>'IBS Action Plan 20170131'!V22</f>
        <v>0</v>
      </c>
      <c r="V22" s="532">
        <f>'IBS Action Plan 20170131'!W22</f>
        <v>0</v>
      </c>
      <c r="W22" s="532">
        <f>'IBS Action Plan 20170131'!X22</f>
        <v>0</v>
      </c>
      <c r="X22" s="532">
        <f>'IBS Action Plan 20170131'!Y22</f>
        <v>0</v>
      </c>
      <c r="Y22" s="75">
        <f t="shared" si="4"/>
        <v>535</v>
      </c>
    </row>
    <row r="23" spans="1:25" x14ac:dyDescent="0.3">
      <c r="A23" s="392" t="s">
        <v>14</v>
      </c>
      <c r="B23" s="496" t="s">
        <v>173</v>
      </c>
      <c r="C23" s="333">
        <f>SUM(C14:C22)</f>
        <v>880</v>
      </c>
      <c r="D23" s="333">
        <f>SUM(D14:D22)</f>
        <v>493</v>
      </c>
      <c r="E23" s="333">
        <f t="shared" ref="E23:F23" si="8">SUM(E14:E22)</f>
        <v>740</v>
      </c>
      <c r="F23" s="333">
        <f t="shared" si="8"/>
        <v>2149</v>
      </c>
      <c r="G23" s="333">
        <f>SUM(C23:F23)</f>
        <v>4262</v>
      </c>
      <c r="H23" s="374">
        <f t="shared" si="0"/>
        <v>3187.5</v>
      </c>
      <c r="I23" s="334">
        <f t="shared" si="2"/>
        <v>0.74788831534490852</v>
      </c>
      <c r="J23" s="333">
        <f t="shared" ref="J23" si="9">SUM(J14:J22)</f>
        <v>4396</v>
      </c>
      <c r="K23" s="333">
        <f>SUM(K14:K22)</f>
        <v>837</v>
      </c>
      <c r="L23" s="333">
        <f>SUM(L14:L22)</f>
        <v>7821</v>
      </c>
      <c r="M23" s="361"/>
      <c r="N23" s="498"/>
      <c r="O23" s="532">
        <f>'IBS Action Plan 20170131'!P23</f>
        <v>0</v>
      </c>
      <c r="P23" s="532">
        <f>'IBS Action Plan 20170131'!Q23</f>
        <v>0</v>
      </c>
      <c r="Q23" s="532">
        <f>'IBS Action Plan 20170131'!R23</f>
        <v>0</v>
      </c>
      <c r="R23" s="532">
        <f>'IBS Action Plan 20170131'!S23</f>
        <v>17</v>
      </c>
      <c r="S23" s="532">
        <f>'IBS Action Plan 20170131'!T23</f>
        <v>20</v>
      </c>
      <c r="T23" s="532">
        <f>'IBS Action Plan 20170131'!U23</f>
        <v>264</v>
      </c>
      <c r="U23" s="532">
        <f>'IBS Action Plan 20170131'!V23</f>
        <v>301</v>
      </c>
      <c r="V23" s="532">
        <f>'IBS Action Plan 20170131'!W23</f>
        <v>72</v>
      </c>
      <c r="W23" s="532">
        <f>'IBS Action Plan 20170131'!X23</f>
        <v>229</v>
      </c>
      <c r="X23" s="532">
        <f>'IBS Action Plan 20170131'!Y23</f>
        <v>0</v>
      </c>
      <c r="Y23" s="75">
        <f t="shared" si="4"/>
        <v>8959</v>
      </c>
    </row>
    <row r="24" spans="1:25" hidden="1" x14ac:dyDescent="0.3">
      <c r="A24" s="734" t="s">
        <v>129</v>
      </c>
      <c r="B24" s="497" t="s">
        <v>20</v>
      </c>
      <c r="C24" s="333">
        <v>1573.7891420000001</v>
      </c>
      <c r="D24" s="333">
        <v>163.16569699999999</v>
      </c>
      <c r="E24" s="333">
        <v>2418.411987</v>
      </c>
      <c r="F24" s="333">
        <v>565.98814000000004</v>
      </c>
      <c r="G24" s="333">
        <f>SUM(C24:F24)</f>
        <v>4721.3549659999999</v>
      </c>
      <c r="H24" s="374">
        <f t="shared" si="0"/>
        <v>4438.3608959999992</v>
      </c>
      <c r="I24" s="334">
        <f t="shared" si="2"/>
        <v>0.94006083591724576</v>
      </c>
      <c r="J24" s="333">
        <v>343.88704300000001</v>
      </c>
      <c r="K24" s="333">
        <v>811.97203400000001</v>
      </c>
      <c r="L24" s="333">
        <v>4253.2699759999996</v>
      </c>
      <c r="M24" s="533" t="s">
        <v>56</v>
      </c>
      <c r="N24" s="498"/>
      <c r="O24" s="532" t="str">
        <f>'IBS Action Plan 20170131'!P24</f>
        <v>Economic</v>
      </c>
      <c r="P24" s="532">
        <f>'IBS Action Plan 20170131'!Q24</f>
        <v>497.58506499999999</v>
      </c>
      <c r="Q24" s="532">
        <f>'IBS Action Plan 20170131'!R24</f>
        <v>143.29147399999999</v>
      </c>
      <c r="R24" s="532">
        <f>'IBS Action Plan 20170131'!S24</f>
        <v>862.97542999999996</v>
      </c>
      <c r="S24" s="532">
        <f>'IBS Action Plan 20170131'!T24</f>
        <v>157.714631</v>
      </c>
      <c r="T24" s="532">
        <f>'IBS Action Plan 20170131'!U24</f>
        <v>85.922109000000006</v>
      </c>
      <c r="U24" s="532">
        <f>'IBS Action Plan 20170131'!V24</f>
        <v>1747.488709</v>
      </c>
      <c r="V24" s="532">
        <f>'IBS Action Plan 20170131'!W24</f>
        <v>1747.4887080000001</v>
      </c>
      <c r="W24" s="532">
        <f>'IBS Action Plan 20170131'!X24</f>
        <v>0</v>
      </c>
      <c r="X24" s="532" t="str">
        <f>'IBS Action Plan 20170131'!Y24</f>
        <v>Road Access, practicality</v>
      </c>
      <c r="Y24" s="75">
        <f t="shared" si="4"/>
        <v>6812.7307179999998</v>
      </c>
    </row>
    <row r="25" spans="1:25" hidden="1" x14ac:dyDescent="0.3">
      <c r="A25" s="734"/>
      <c r="B25" s="500" t="s">
        <v>59</v>
      </c>
      <c r="C25" s="333">
        <v>0</v>
      </c>
      <c r="D25" s="333">
        <v>0</v>
      </c>
      <c r="E25" s="333">
        <v>0</v>
      </c>
      <c r="F25" s="333">
        <v>7.6005200000000004</v>
      </c>
      <c r="G25" s="333">
        <f>SUM(C25:F25)</f>
        <v>7.6005200000000004</v>
      </c>
      <c r="H25" s="374">
        <f t="shared" si="0"/>
        <v>3.8002600000000002</v>
      </c>
      <c r="I25" s="334">
        <f t="shared" si="2"/>
        <v>0.5</v>
      </c>
      <c r="J25" s="333">
        <v>668.43455600000004</v>
      </c>
      <c r="K25" s="333">
        <v>26.118659999999998</v>
      </c>
      <c r="L25" s="333">
        <v>650.04985599999998</v>
      </c>
      <c r="M25" s="533" t="s">
        <v>60</v>
      </c>
      <c r="N25" s="498"/>
      <c r="O25" s="532" t="str">
        <f>'IBS Action Plan 20170131'!P25</f>
        <v>Economic</v>
      </c>
      <c r="P25" s="532">
        <f>'IBS Action Plan 20170131'!Q25</f>
        <v>0</v>
      </c>
      <c r="Q25" s="532">
        <f>'IBS Action Plan 20170131'!R25</f>
        <v>0</v>
      </c>
      <c r="R25" s="532">
        <f>'IBS Action Plan 20170131'!S25</f>
        <v>0</v>
      </c>
      <c r="S25" s="532">
        <f>'IBS Action Plan 20170131'!T25</f>
        <v>0</v>
      </c>
      <c r="T25" s="532">
        <f>'IBS Action Plan 20170131'!U25</f>
        <v>43.571154</v>
      </c>
      <c r="U25" s="532">
        <f>'IBS Action Plan 20170131'!V25</f>
        <v>43.571154</v>
      </c>
      <c r="V25" s="532">
        <f>'IBS Action Plan 20170131'!W25</f>
        <v>43.571154</v>
      </c>
      <c r="W25" s="532">
        <f>'IBS Action Plan 20170131'!X25</f>
        <v>0</v>
      </c>
      <c r="X25" s="532" t="str">
        <f>'IBS Action Plan 20170131'!Y25</f>
        <v>Road Access, practicality</v>
      </c>
      <c r="Y25" s="75">
        <f t="shared" si="4"/>
        <v>719.60622999999998</v>
      </c>
    </row>
    <row r="26" spans="1:25" hidden="1" x14ac:dyDescent="0.3">
      <c r="A26" s="734"/>
      <c r="B26" s="500" t="s">
        <v>61</v>
      </c>
      <c r="C26" s="333">
        <v>0</v>
      </c>
      <c r="D26" s="333">
        <v>0</v>
      </c>
      <c r="E26" s="333">
        <v>0</v>
      </c>
      <c r="F26" s="333">
        <v>0</v>
      </c>
      <c r="G26" s="333">
        <v>0</v>
      </c>
      <c r="H26" s="374">
        <f t="shared" si="0"/>
        <v>0</v>
      </c>
      <c r="I26" s="334">
        <f t="shared" si="2"/>
        <v>0</v>
      </c>
      <c r="J26" s="333">
        <v>64.410450999999995</v>
      </c>
      <c r="K26" s="333">
        <v>0</v>
      </c>
      <c r="L26" s="333">
        <v>64.277010000000004</v>
      </c>
      <c r="M26" s="535">
        <v>2017</v>
      </c>
      <c r="N26" s="498"/>
      <c r="O26" s="532" t="str">
        <f>'IBS Action Plan 20170131'!P26</f>
        <v>Economic</v>
      </c>
      <c r="P26" s="532">
        <f>'IBS Action Plan 20170131'!Q26</f>
        <v>86.873819999999995</v>
      </c>
      <c r="Q26" s="532">
        <f>'IBS Action Plan 20170131'!R26</f>
        <v>0</v>
      </c>
      <c r="R26" s="532">
        <f>'IBS Action Plan 20170131'!S26</f>
        <v>31.200416000000001</v>
      </c>
      <c r="S26" s="532">
        <f>'IBS Action Plan 20170131'!T26</f>
        <v>0</v>
      </c>
      <c r="T26" s="532">
        <f>'IBS Action Plan 20170131'!U26</f>
        <v>11.304932000000001</v>
      </c>
      <c r="U26" s="532">
        <f>'IBS Action Plan 20170131'!V26</f>
        <v>129.37916799999999</v>
      </c>
      <c r="V26" s="532">
        <f>'IBS Action Plan 20170131'!W26</f>
        <v>129.37916799999999</v>
      </c>
      <c r="W26" s="532">
        <f>'IBS Action Plan 20170131'!X26</f>
        <v>0</v>
      </c>
      <c r="X26" s="532" t="str">
        <f>'IBS Action Plan 20170131'!Y26</f>
        <v>Road Access, practicality</v>
      </c>
      <c r="Y26" s="75">
        <f t="shared" si="4"/>
        <v>193.78961899999999</v>
      </c>
    </row>
    <row r="27" spans="1:25" x14ac:dyDescent="0.3">
      <c r="A27" s="392" t="s">
        <v>14</v>
      </c>
      <c r="B27" s="496" t="s">
        <v>171</v>
      </c>
      <c r="C27" s="374">
        <f>SUM(C24:C26)</f>
        <v>1573.7891420000001</v>
      </c>
      <c r="D27" s="374">
        <f>SUM(D24:D26)</f>
        <v>163.16569699999999</v>
      </c>
      <c r="E27" s="374">
        <f t="shared" ref="E27:F27" si="10">SUM(E24:E26)</f>
        <v>2418.411987</v>
      </c>
      <c r="F27" s="374">
        <f t="shared" si="10"/>
        <v>573.58866</v>
      </c>
      <c r="G27" s="333">
        <f>SUM(C27:F27)</f>
        <v>4728.9554859999998</v>
      </c>
      <c r="H27" s="374">
        <f t="shared" si="0"/>
        <v>4442.1611559999992</v>
      </c>
      <c r="I27" s="334">
        <f>IF(G27&lt;1,0,H27/G27)</f>
        <v>0.93935355685858091</v>
      </c>
      <c r="J27" s="374">
        <f t="shared" ref="J27" si="11">SUM(J24:J26)</f>
        <v>1076.7320500000001</v>
      </c>
      <c r="K27" s="374">
        <f>SUM(K24:K26)</f>
        <v>838.09069399999998</v>
      </c>
      <c r="L27" s="374">
        <f>SUM(L24:L26)</f>
        <v>4967.596841999999</v>
      </c>
      <c r="M27" s="377"/>
      <c r="N27" s="498"/>
      <c r="O27" s="532">
        <f>'IBS Action Plan 20170131'!P27</f>
        <v>0</v>
      </c>
      <c r="P27" s="532">
        <f>'IBS Action Plan 20170131'!Q27</f>
        <v>584.45888500000001</v>
      </c>
      <c r="Q27" s="532">
        <f>'IBS Action Plan 20170131'!R27</f>
        <v>143.29147399999999</v>
      </c>
      <c r="R27" s="532">
        <f>'IBS Action Plan 20170131'!S27</f>
        <v>894.17584599999998</v>
      </c>
      <c r="S27" s="532">
        <f>'IBS Action Plan 20170131'!T27</f>
        <v>157.714631</v>
      </c>
      <c r="T27" s="532">
        <f>'IBS Action Plan 20170131'!U27</f>
        <v>140.79819500000002</v>
      </c>
      <c r="U27" s="532">
        <f>'IBS Action Plan 20170131'!V27</f>
        <v>1920.4390309999999</v>
      </c>
      <c r="V27" s="532">
        <f>'IBS Action Plan 20170131'!W27</f>
        <v>1920.43903</v>
      </c>
      <c r="W27" s="532">
        <f>'IBS Action Plan 20170131'!X27</f>
        <v>0</v>
      </c>
      <c r="X27" s="532">
        <f>'IBS Action Plan 20170131'!Y27</f>
        <v>0</v>
      </c>
      <c r="Y27" s="75">
        <f t="shared" si="4"/>
        <v>7726.1265669999993</v>
      </c>
    </row>
    <row r="28" spans="1:25" x14ac:dyDescent="0.3">
      <c r="A28" s="501" t="s">
        <v>7</v>
      </c>
      <c r="B28" s="502" t="s">
        <v>130</v>
      </c>
      <c r="C28" s="536">
        <f t="shared" ref="C28:L28" si="12">C13+C23+C27</f>
        <v>2453.7891420000001</v>
      </c>
      <c r="D28" s="536">
        <f t="shared" si="12"/>
        <v>1367.1656969999999</v>
      </c>
      <c r="E28" s="536">
        <f t="shared" si="12"/>
        <v>9555.4119869999995</v>
      </c>
      <c r="F28" s="536">
        <f t="shared" si="12"/>
        <v>11610.588659999999</v>
      </c>
      <c r="G28" s="536">
        <f>G13+G23+G27</f>
        <v>24986.955485999999</v>
      </c>
      <c r="H28" s="374">
        <f t="shared" si="0"/>
        <v>19181.661155999998</v>
      </c>
      <c r="I28" s="537">
        <f t="shared" si="2"/>
        <v>0.76766699995713117</v>
      </c>
      <c r="J28" s="536">
        <f t="shared" si="12"/>
        <v>14050.732050000001</v>
      </c>
      <c r="K28" s="536">
        <f t="shared" si="12"/>
        <v>6476.0906940000004</v>
      </c>
      <c r="L28" s="536">
        <f t="shared" si="12"/>
        <v>32561.596841999999</v>
      </c>
      <c r="M28" s="538"/>
      <c r="N28" s="498"/>
      <c r="O28" s="665">
        <f>'IBS Action Plan 20170131'!P28</f>
        <v>0</v>
      </c>
      <c r="P28" s="665">
        <f>'IBS Action Plan 20170131'!Q28</f>
        <v>584.45888500000001</v>
      </c>
      <c r="Q28" s="665">
        <f>'IBS Action Plan 20170131'!R28</f>
        <v>143.29147399999999</v>
      </c>
      <c r="R28" s="665">
        <f>'IBS Action Plan 20170131'!S28</f>
        <v>10911.175846</v>
      </c>
      <c r="S28" s="665">
        <f>'IBS Action Plan 20170131'!T28</f>
        <v>5757.7146309999998</v>
      </c>
      <c r="T28" s="665">
        <f>'IBS Action Plan 20170131'!U28</f>
        <v>5597.7981950000003</v>
      </c>
      <c r="U28" s="665">
        <f>'IBS Action Plan 20170131'!V28</f>
        <v>22994.439031000002</v>
      </c>
      <c r="V28" s="665">
        <f>'IBS Action Plan 20170131'!W28</f>
        <v>10301.63903</v>
      </c>
      <c r="W28" s="665">
        <f>'IBS Action Plan 20170131'!X28</f>
        <v>12692.8</v>
      </c>
      <c r="X28" s="665"/>
      <c r="Y28" s="555">
        <f>+G28+J28+U28</f>
        <v>62032.126566999999</v>
      </c>
    </row>
    <row r="29" spans="1:25" ht="16.2" x14ac:dyDescent="0.3">
      <c r="A29" s="501"/>
      <c r="B29" s="502" t="s">
        <v>216</v>
      </c>
      <c r="C29" s="536">
        <f>C28*275</f>
        <v>674792.01405</v>
      </c>
      <c r="D29" s="536">
        <f t="shared" ref="D29:G29" si="13">D28*275</f>
        <v>375970.56667499995</v>
      </c>
      <c r="E29" s="536">
        <f t="shared" si="13"/>
        <v>2627738.2964249998</v>
      </c>
      <c r="F29" s="536">
        <f t="shared" si="13"/>
        <v>3192911.8814999997</v>
      </c>
      <c r="G29" s="536">
        <f t="shared" si="13"/>
        <v>6871412.7586499993</v>
      </c>
      <c r="H29" s="536">
        <f>C29+D29+E29+F29*0.5</f>
        <v>5274956.8179000001</v>
      </c>
      <c r="I29" s="539"/>
      <c r="J29" s="539"/>
      <c r="K29" s="539"/>
      <c r="L29" s="539"/>
      <c r="M29" s="540"/>
      <c r="N29" s="498"/>
      <c r="O29" s="18"/>
      <c r="P29" s="175"/>
      <c r="Q29" s="175"/>
      <c r="R29" s="175"/>
      <c r="S29" s="175"/>
      <c r="T29" s="175"/>
      <c r="U29" s="175"/>
      <c r="V29" s="175"/>
      <c r="W29" s="175"/>
      <c r="X29" s="21"/>
      <c r="Y29" s="75">
        <f t="shared" si="4"/>
        <v>6871412.7586499993</v>
      </c>
    </row>
    <row r="30" spans="1:25" hidden="1" x14ac:dyDescent="0.3">
      <c r="A30" s="724" t="s">
        <v>89</v>
      </c>
      <c r="B30" s="497" t="s">
        <v>22</v>
      </c>
      <c r="C30" s="333">
        <v>0</v>
      </c>
      <c r="D30" s="333">
        <v>27</v>
      </c>
      <c r="E30" s="333">
        <v>0</v>
      </c>
      <c r="F30" s="333">
        <v>43</v>
      </c>
      <c r="G30" s="333">
        <f>SUM(C30:F30)</f>
        <v>70</v>
      </c>
      <c r="H30" s="374">
        <f t="shared" si="0"/>
        <v>48.5</v>
      </c>
      <c r="I30" s="334">
        <f t="shared" si="2"/>
        <v>0.69285714285714284</v>
      </c>
      <c r="J30" s="333">
        <v>94</v>
      </c>
      <c r="K30" s="333">
        <v>1</v>
      </c>
      <c r="L30" s="333">
        <v>163</v>
      </c>
      <c r="M30" s="361" t="s">
        <v>91</v>
      </c>
      <c r="N30" s="493"/>
      <c r="O30" s="532"/>
      <c r="P30" s="163" t="s">
        <v>90</v>
      </c>
      <c r="Q30" s="163" t="s">
        <v>90</v>
      </c>
      <c r="R30" s="163" t="s">
        <v>90</v>
      </c>
      <c r="S30" s="163" t="s">
        <v>90</v>
      </c>
      <c r="T30" s="163" t="s">
        <v>90</v>
      </c>
      <c r="U30" s="163">
        <f>SUM(P30:T30)</f>
        <v>0</v>
      </c>
      <c r="V30" s="163"/>
      <c r="W30" s="163"/>
      <c r="X30" s="564"/>
      <c r="Y30" s="75">
        <f t="shared" si="4"/>
        <v>164</v>
      </c>
    </row>
    <row r="31" spans="1:25" hidden="1" x14ac:dyDescent="0.3">
      <c r="A31" s="735"/>
      <c r="B31" s="503" t="s">
        <v>120</v>
      </c>
      <c r="C31" s="333">
        <v>0</v>
      </c>
      <c r="D31" s="333">
        <v>0</v>
      </c>
      <c r="E31" s="333">
        <v>0</v>
      </c>
      <c r="F31" s="333">
        <v>55</v>
      </c>
      <c r="G31" s="333">
        <f>SUM(C31:F31)</f>
        <v>55</v>
      </c>
      <c r="H31" s="374">
        <f t="shared" si="0"/>
        <v>27.5</v>
      </c>
      <c r="I31" s="334">
        <f t="shared" si="2"/>
        <v>0.5</v>
      </c>
      <c r="J31" s="333">
        <v>34</v>
      </c>
      <c r="K31" s="333" t="s">
        <v>90</v>
      </c>
      <c r="L31" s="333">
        <v>89</v>
      </c>
      <c r="M31" s="361" t="s">
        <v>92</v>
      </c>
      <c r="N31" s="493"/>
      <c r="O31" s="532"/>
      <c r="P31" s="163" t="s">
        <v>90</v>
      </c>
      <c r="Q31" s="163" t="s">
        <v>90</v>
      </c>
      <c r="R31" s="163" t="s">
        <v>90</v>
      </c>
      <c r="S31" s="163" t="s">
        <v>90</v>
      </c>
      <c r="T31" s="163" t="s">
        <v>90</v>
      </c>
      <c r="U31" s="163">
        <f t="shared" ref="U31:U72" si="14">SUM(P31:T31)</f>
        <v>0</v>
      </c>
      <c r="V31" s="163"/>
      <c r="W31" s="163"/>
      <c r="X31" s="564"/>
      <c r="Y31" s="75">
        <f t="shared" si="4"/>
        <v>89</v>
      </c>
    </row>
    <row r="32" spans="1:25" hidden="1" x14ac:dyDescent="0.3">
      <c r="A32" s="735"/>
      <c r="B32" s="503" t="s">
        <v>121</v>
      </c>
      <c r="C32" s="333">
        <v>0</v>
      </c>
      <c r="D32" s="333">
        <v>8</v>
      </c>
      <c r="E32" s="333">
        <v>268</v>
      </c>
      <c r="F32" s="333">
        <v>2160</v>
      </c>
      <c r="G32" s="333">
        <f>SUM(C32:F32)</f>
        <v>2436</v>
      </c>
      <c r="H32" s="374">
        <f t="shared" si="0"/>
        <v>1356</v>
      </c>
      <c r="I32" s="334">
        <f t="shared" si="2"/>
        <v>0.55665024630541871</v>
      </c>
      <c r="J32" s="333">
        <v>542</v>
      </c>
      <c r="K32" s="333">
        <v>285</v>
      </c>
      <c r="L32" s="333">
        <v>2692</v>
      </c>
      <c r="M32" s="361" t="s">
        <v>93</v>
      </c>
      <c r="N32" s="493"/>
      <c r="O32" s="532" t="s">
        <v>201</v>
      </c>
      <c r="P32" s="163" t="s">
        <v>90</v>
      </c>
      <c r="Q32" s="163" t="s">
        <v>90</v>
      </c>
      <c r="R32" s="163" t="s">
        <v>90</v>
      </c>
      <c r="S32" s="163" t="s">
        <v>90</v>
      </c>
      <c r="T32" s="163">
        <v>28</v>
      </c>
      <c r="U32" s="163">
        <f t="shared" si="14"/>
        <v>28</v>
      </c>
      <c r="V32" s="163"/>
      <c r="W32" s="163"/>
      <c r="X32" s="564" t="s">
        <v>116</v>
      </c>
      <c r="Y32" s="75">
        <f t="shared" si="4"/>
        <v>3006</v>
      </c>
    </row>
    <row r="33" spans="1:25" hidden="1" x14ac:dyDescent="0.3">
      <c r="A33" s="735"/>
      <c r="B33" s="503" t="s">
        <v>122</v>
      </c>
      <c r="C33" s="333">
        <v>0</v>
      </c>
      <c r="D33" s="333">
        <v>0</v>
      </c>
      <c r="E33" s="333">
        <v>0</v>
      </c>
      <c r="F33" s="333">
        <v>0</v>
      </c>
      <c r="G33" s="333">
        <v>0</v>
      </c>
      <c r="H33" s="374">
        <f t="shared" si="0"/>
        <v>0</v>
      </c>
      <c r="I33" s="334">
        <f t="shared" si="2"/>
        <v>0</v>
      </c>
      <c r="J33" s="333">
        <v>0</v>
      </c>
      <c r="K33" s="333" t="s">
        <v>90</v>
      </c>
      <c r="L33" s="333" t="s">
        <v>94</v>
      </c>
      <c r="M33" s="361"/>
      <c r="N33" s="493"/>
      <c r="O33" s="532" t="s">
        <v>201</v>
      </c>
      <c r="P33" s="163" t="s">
        <v>90</v>
      </c>
      <c r="Q33" s="163" t="s">
        <v>90</v>
      </c>
      <c r="R33" s="163" t="s">
        <v>90</v>
      </c>
      <c r="S33" s="163" t="s">
        <v>90</v>
      </c>
      <c r="T33" s="163">
        <v>70</v>
      </c>
      <c r="U33" s="163">
        <f t="shared" si="14"/>
        <v>70</v>
      </c>
      <c r="V33" s="163"/>
      <c r="W33" s="163"/>
      <c r="X33" s="564" t="s">
        <v>116</v>
      </c>
      <c r="Y33" s="75">
        <f t="shared" si="4"/>
        <v>70</v>
      </c>
    </row>
    <row r="34" spans="1:25" hidden="1" x14ac:dyDescent="0.3">
      <c r="A34" s="735"/>
      <c r="B34" s="503" t="s">
        <v>123</v>
      </c>
      <c r="C34" s="333">
        <v>0</v>
      </c>
      <c r="D34" s="333">
        <v>92</v>
      </c>
      <c r="E34" s="333">
        <v>69</v>
      </c>
      <c r="F34" s="333">
        <v>627</v>
      </c>
      <c r="G34" s="333">
        <f>SUM(C34:F34)</f>
        <v>788</v>
      </c>
      <c r="H34" s="374">
        <f t="shared" si="0"/>
        <v>474.5</v>
      </c>
      <c r="I34" s="334">
        <f t="shared" si="2"/>
        <v>0.60215736040609136</v>
      </c>
      <c r="J34" s="333">
        <v>324</v>
      </c>
      <c r="K34" s="333">
        <v>13</v>
      </c>
      <c r="L34" s="333">
        <v>1099</v>
      </c>
      <c r="M34" s="361" t="s">
        <v>95</v>
      </c>
      <c r="N34" s="493"/>
      <c r="O34" s="532"/>
      <c r="P34" s="163" t="s">
        <v>90</v>
      </c>
      <c r="Q34" s="163" t="s">
        <v>90</v>
      </c>
      <c r="R34" s="163" t="s">
        <v>90</v>
      </c>
      <c r="S34" s="163" t="s">
        <v>90</v>
      </c>
      <c r="T34" s="163" t="s">
        <v>90</v>
      </c>
      <c r="U34" s="163">
        <f>SUM(P34:T34)</f>
        <v>0</v>
      </c>
      <c r="V34" s="163"/>
      <c r="W34" s="163"/>
      <c r="X34" s="564"/>
      <c r="Y34" s="75">
        <f t="shared" si="4"/>
        <v>1112</v>
      </c>
    </row>
    <row r="35" spans="1:25" hidden="1" x14ac:dyDescent="0.3">
      <c r="A35" s="735"/>
      <c r="B35" s="503" t="s">
        <v>124</v>
      </c>
      <c r="C35" s="333">
        <v>0</v>
      </c>
      <c r="D35" s="333">
        <v>17</v>
      </c>
      <c r="E35" s="333">
        <v>1023</v>
      </c>
      <c r="F35" s="333">
        <v>2950</v>
      </c>
      <c r="G35" s="333">
        <f>SUM(C35:F35)</f>
        <v>3990</v>
      </c>
      <c r="H35" s="374">
        <f t="shared" si="0"/>
        <v>2515</v>
      </c>
      <c r="I35" s="334">
        <f t="shared" si="2"/>
        <v>0.63032581453634084</v>
      </c>
      <c r="J35" s="333">
        <v>299</v>
      </c>
      <c r="K35" s="333">
        <v>1822</v>
      </c>
      <c r="L35" s="333">
        <v>2468</v>
      </c>
      <c r="M35" s="361" t="s">
        <v>91</v>
      </c>
      <c r="N35" s="493"/>
      <c r="O35" s="532"/>
      <c r="P35" s="163" t="s">
        <v>90</v>
      </c>
      <c r="Q35" s="163" t="s">
        <v>90</v>
      </c>
      <c r="R35" s="163" t="s">
        <v>90</v>
      </c>
      <c r="S35" s="163" t="s">
        <v>90</v>
      </c>
      <c r="T35" s="163" t="s">
        <v>90</v>
      </c>
      <c r="U35" s="163">
        <f t="shared" si="14"/>
        <v>0</v>
      </c>
      <c r="V35" s="163"/>
      <c r="W35" s="163"/>
      <c r="X35" s="564"/>
      <c r="Y35" s="75">
        <f t="shared" si="4"/>
        <v>4289</v>
      </c>
    </row>
    <row r="36" spans="1:25" hidden="1" x14ac:dyDescent="0.3">
      <c r="A36" s="735"/>
      <c r="B36" s="503" t="s">
        <v>125</v>
      </c>
      <c r="C36" s="333">
        <v>0</v>
      </c>
      <c r="D36" s="333">
        <v>0</v>
      </c>
      <c r="E36" s="333">
        <v>109</v>
      </c>
      <c r="F36" s="333">
        <v>1313</v>
      </c>
      <c r="G36" s="333">
        <f>SUM(C36:F36)</f>
        <v>1422</v>
      </c>
      <c r="H36" s="374">
        <f t="shared" si="0"/>
        <v>765.5</v>
      </c>
      <c r="I36" s="334">
        <f t="shared" si="2"/>
        <v>0.53832630098452883</v>
      </c>
      <c r="J36" s="333">
        <v>504</v>
      </c>
      <c r="K36" s="333">
        <v>132</v>
      </c>
      <c r="L36" s="333">
        <v>1795</v>
      </c>
      <c r="M36" s="361" t="s">
        <v>96</v>
      </c>
      <c r="N36" s="493"/>
      <c r="O36" s="532"/>
      <c r="P36" s="163" t="s">
        <v>90</v>
      </c>
      <c r="Q36" s="163" t="s">
        <v>90</v>
      </c>
      <c r="R36" s="163" t="s">
        <v>90</v>
      </c>
      <c r="S36" s="163" t="s">
        <v>90</v>
      </c>
      <c r="T36" s="163" t="s">
        <v>90</v>
      </c>
      <c r="U36" s="163">
        <f t="shared" si="14"/>
        <v>0</v>
      </c>
      <c r="V36" s="163"/>
      <c r="W36" s="163"/>
      <c r="X36" s="564"/>
      <c r="Y36" s="75">
        <f t="shared" si="4"/>
        <v>1926</v>
      </c>
    </row>
    <row r="37" spans="1:25" hidden="1" x14ac:dyDescent="0.3">
      <c r="A37" s="735"/>
      <c r="B37" s="503" t="s">
        <v>126</v>
      </c>
      <c r="C37" s="333">
        <v>0</v>
      </c>
      <c r="D37" s="333">
        <v>0</v>
      </c>
      <c r="E37" s="333">
        <v>0</v>
      </c>
      <c r="F37" s="333">
        <v>0</v>
      </c>
      <c r="G37" s="333">
        <v>0</v>
      </c>
      <c r="H37" s="374">
        <f t="shared" si="0"/>
        <v>0</v>
      </c>
      <c r="I37" s="334">
        <f t="shared" si="2"/>
        <v>0</v>
      </c>
      <c r="J37" s="333">
        <v>0</v>
      </c>
      <c r="K37" s="333" t="s">
        <v>90</v>
      </c>
      <c r="L37" s="333" t="s">
        <v>94</v>
      </c>
      <c r="M37" s="361"/>
      <c r="N37" s="493"/>
      <c r="O37" s="532" t="s">
        <v>201</v>
      </c>
      <c r="P37" s="163" t="s">
        <v>90</v>
      </c>
      <c r="Q37" s="163" t="s">
        <v>90</v>
      </c>
      <c r="R37" s="163" t="s">
        <v>90</v>
      </c>
      <c r="S37" s="163">
        <v>37</v>
      </c>
      <c r="T37" s="163" t="s">
        <v>90</v>
      </c>
      <c r="U37" s="163">
        <f t="shared" si="14"/>
        <v>37</v>
      </c>
      <c r="V37" s="163"/>
      <c r="W37" s="163"/>
      <c r="X37" s="564" t="s">
        <v>116</v>
      </c>
      <c r="Y37" s="75">
        <f t="shared" si="4"/>
        <v>37</v>
      </c>
    </row>
    <row r="38" spans="1:25" hidden="1" x14ac:dyDescent="0.3">
      <c r="A38" s="735"/>
      <c r="B38" s="503" t="s">
        <v>20</v>
      </c>
      <c r="C38" s="333">
        <v>0</v>
      </c>
      <c r="D38" s="333">
        <v>0</v>
      </c>
      <c r="E38" s="333">
        <v>0</v>
      </c>
      <c r="F38" s="333">
        <v>94</v>
      </c>
      <c r="G38" s="333">
        <f t="shared" ref="G38:G44" si="15">SUM(C38:F38)</f>
        <v>94</v>
      </c>
      <c r="H38" s="374">
        <f t="shared" si="0"/>
        <v>47</v>
      </c>
      <c r="I38" s="334">
        <f t="shared" si="2"/>
        <v>0.5</v>
      </c>
      <c r="J38" s="333">
        <v>0</v>
      </c>
      <c r="K38" s="333">
        <v>53</v>
      </c>
      <c r="L38" s="333">
        <v>41</v>
      </c>
      <c r="M38" s="361" t="s">
        <v>97</v>
      </c>
      <c r="N38" s="493"/>
      <c r="O38" s="532" t="s">
        <v>201</v>
      </c>
      <c r="P38" s="163" t="s">
        <v>90</v>
      </c>
      <c r="Q38" s="163" t="s">
        <v>90</v>
      </c>
      <c r="R38" s="163">
        <v>2</v>
      </c>
      <c r="S38" s="163" t="s">
        <v>90</v>
      </c>
      <c r="T38" s="163" t="s">
        <v>90</v>
      </c>
      <c r="U38" s="163">
        <f t="shared" si="14"/>
        <v>2</v>
      </c>
      <c r="V38" s="163"/>
      <c r="W38" s="163"/>
      <c r="X38" s="564" t="s">
        <v>116</v>
      </c>
      <c r="Y38" s="75">
        <f t="shared" si="4"/>
        <v>96</v>
      </c>
    </row>
    <row r="39" spans="1:25" hidden="1" x14ac:dyDescent="0.3">
      <c r="A39" s="735"/>
      <c r="B39" s="503" t="s">
        <v>127</v>
      </c>
      <c r="C39" s="333">
        <v>0</v>
      </c>
      <c r="D39" s="333">
        <v>26</v>
      </c>
      <c r="E39" s="333">
        <v>16</v>
      </c>
      <c r="F39" s="333">
        <v>485</v>
      </c>
      <c r="G39" s="333">
        <f t="shared" si="15"/>
        <v>527</v>
      </c>
      <c r="H39" s="374">
        <f t="shared" si="0"/>
        <v>284.5</v>
      </c>
      <c r="I39" s="334">
        <f t="shared" si="2"/>
        <v>0.53984819734345346</v>
      </c>
      <c r="J39" s="333">
        <v>340</v>
      </c>
      <c r="K39" s="333">
        <v>25</v>
      </c>
      <c r="L39" s="333">
        <v>842</v>
      </c>
      <c r="M39" s="361" t="s">
        <v>98</v>
      </c>
      <c r="N39" s="493"/>
      <c r="O39" s="532" t="s">
        <v>201</v>
      </c>
      <c r="P39" s="163" t="s">
        <v>90</v>
      </c>
      <c r="Q39" s="163">
        <v>173</v>
      </c>
      <c r="R39" s="163">
        <v>0</v>
      </c>
      <c r="S39" s="163">
        <v>35</v>
      </c>
      <c r="T39" s="163">
        <v>119</v>
      </c>
      <c r="U39" s="163">
        <f t="shared" si="14"/>
        <v>327</v>
      </c>
      <c r="V39" s="163"/>
      <c r="W39" s="163"/>
      <c r="X39" s="564" t="s">
        <v>115</v>
      </c>
      <c r="Y39" s="75">
        <f t="shared" si="4"/>
        <v>1194</v>
      </c>
    </row>
    <row r="40" spans="1:25" hidden="1" x14ac:dyDescent="0.3">
      <c r="A40" s="735"/>
      <c r="B40" s="503" t="s">
        <v>128</v>
      </c>
      <c r="C40" s="333">
        <v>0</v>
      </c>
      <c r="D40" s="333">
        <v>166</v>
      </c>
      <c r="E40" s="333">
        <v>132</v>
      </c>
      <c r="F40" s="333">
        <v>9</v>
      </c>
      <c r="G40" s="333">
        <f t="shared" si="15"/>
        <v>307</v>
      </c>
      <c r="H40" s="374">
        <f t="shared" si="0"/>
        <v>302.5</v>
      </c>
      <c r="I40" s="334">
        <f t="shared" si="2"/>
        <v>0.98534201954397393</v>
      </c>
      <c r="J40" s="333">
        <v>507</v>
      </c>
      <c r="K40" s="333">
        <v>5</v>
      </c>
      <c r="L40" s="333">
        <v>811</v>
      </c>
      <c r="M40" s="361" t="s">
        <v>93</v>
      </c>
      <c r="N40" s="493"/>
      <c r="O40" s="532"/>
      <c r="P40" s="163" t="s">
        <v>90</v>
      </c>
      <c r="Q40" s="163"/>
      <c r="R40" s="163" t="s">
        <v>90</v>
      </c>
      <c r="S40" s="163" t="s">
        <v>90</v>
      </c>
      <c r="T40" s="163" t="s">
        <v>90</v>
      </c>
      <c r="U40" s="163">
        <f t="shared" si="14"/>
        <v>0</v>
      </c>
      <c r="V40" s="163"/>
      <c r="W40" s="163"/>
      <c r="X40" s="564"/>
      <c r="Y40" s="75">
        <f t="shared" si="4"/>
        <v>814</v>
      </c>
    </row>
    <row r="41" spans="1:25" x14ac:dyDescent="0.3">
      <c r="A41" s="357" t="s">
        <v>14</v>
      </c>
      <c r="B41" s="504" t="s">
        <v>205</v>
      </c>
      <c r="C41" s="374">
        <f>SUM(C30:C40)</f>
        <v>0</v>
      </c>
      <c r="D41" s="374">
        <f>SUM(D30:D40)</f>
        <v>336</v>
      </c>
      <c r="E41" s="374">
        <f t="shared" ref="E41:F41" si="16">SUM(E30:E40)</f>
        <v>1617</v>
      </c>
      <c r="F41" s="374">
        <f t="shared" si="16"/>
        <v>7736</v>
      </c>
      <c r="G41" s="374">
        <f t="shared" si="15"/>
        <v>9689</v>
      </c>
      <c r="H41" s="374">
        <f t="shared" si="0"/>
        <v>5821</v>
      </c>
      <c r="I41" s="334">
        <f t="shared" si="2"/>
        <v>0.60078439467437295</v>
      </c>
      <c r="J41" s="374">
        <f t="shared" ref="J41" si="17">SUM(J30:J40)</f>
        <v>2644</v>
      </c>
      <c r="K41" s="374">
        <f>SUM(K30:K40)</f>
        <v>2336</v>
      </c>
      <c r="L41" s="374">
        <f>SUM(L30:L40)</f>
        <v>10000</v>
      </c>
      <c r="M41" s="377"/>
      <c r="N41" s="505"/>
      <c r="O41" s="541" t="s">
        <v>90</v>
      </c>
      <c r="P41" s="175">
        <f>SUM(P30:P40)</f>
        <v>0</v>
      </c>
      <c r="Q41" s="175">
        <f>SUM(Q30:Q40)</f>
        <v>173</v>
      </c>
      <c r="R41" s="175">
        <f t="shared" ref="R41:S41" si="18">SUM(R30:R40)</f>
        <v>2</v>
      </c>
      <c r="S41" s="175">
        <f t="shared" si="18"/>
        <v>72</v>
      </c>
      <c r="T41" s="175">
        <f>SUM(T30:T40)</f>
        <v>217</v>
      </c>
      <c r="U41" s="175">
        <f t="shared" si="14"/>
        <v>464</v>
      </c>
      <c r="V41" s="175">
        <f>SUM(V30:V40)</f>
        <v>0</v>
      </c>
      <c r="W41" s="175">
        <f>SUM(W30:W40)</f>
        <v>0</v>
      </c>
      <c r="X41" s="21"/>
      <c r="Y41" s="75">
        <f t="shared" si="4"/>
        <v>12797</v>
      </c>
    </row>
    <row r="42" spans="1:25" hidden="1" x14ac:dyDescent="0.3">
      <c r="A42" s="724" t="s">
        <v>157</v>
      </c>
      <c r="B42" s="497" t="s">
        <v>159</v>
      </c>
      <c r="C42" s="333">
        <v>0</v>
      </c>
      <c r="D42" s="333">
        <v>0</v>
      </c>
      <c r="E42" s="333">
        <v>0</v>
      </c>
      <c r="F42" s="333">
        <v>19</v>
      </c>
      <c r="G42" s="333">
        <f t="shared" si="15"/>
        <v>19</v>
      </c>
      <c r="H42" s="374">
        <f>C42+D42+E42+F42*0.5</f>
        <v>9.5</v>
      </c>
      <c r="I42" s="334">
        <f t="shared" si="2"/>
        <v>0.5</v>
      </c>
      <c r="J42" s="333">
        <v>0</v>
      </c>
      <c r="K42" s="333" t="s">
        <v>163</v>
      </c>
      <c r="L42" s="333">
        <v>19</v>
      </c>
      <c r="M42" s="361" t="s">
        <v>165</v>
      </c>
      <c r="N42" s="498"/>
      <c r="O42" s="532"/>
      <c r="P42" s="163" t="s">
        <v>90</v>
      </c>
      <c r="Q42" s="163" t="s">
        <v>90</v>
      </c>
      <c r="R42" s="163" t="s">
        <v>108</v>
      </c>
      <c r="S42" s="163" t="s">
        <v>90</v>
      </c>
      <c r="T42" s="163" t="s">
        <v>90</v>
      </c>
      <c r="U42" s="163">
        <f t="shared" si="14"/>
        <v>0</v>
      </c>
      <c r="V42" s="163"/>
      <c r="W42" s="163"/>
      <c r="X42" s="563"/>
      <c r="Y42" s="75">
        <f t="shared" si="4"/>
        <v>19</v>
      </c>
    </row>
    <row r="43" spans="1:25" hidden="1" x14ac:dyDescent="0.3">
      <c r="A43" s="736"/>
      <c r="B43" s="497" t="s">
        <v>160</v>
      </c>
      <c r="C43" s="333">
        <v>0</v>
      </c>
      <c r="D43" s="333">
        <v>443</v>
      </c>
      <c r="E43" s="333">
        <v>383</v>
      </c>
      <c r="F43" s="333">
        <v>3308</v>
      </c>
      <c r="G43" s="333">
        <f t="shared" si="15"/>
        <v>4134</v>
      </c>
      <c r="H43" s="374">
        <f t="shared" ref="H43:H71" si="19">C43+D43+E43+F43*0.5</f>
        <v>2480</v>
      </c>
      <c r="I43" s="334">
        <f t="shared" si="2"/>
        <v>0.59990324141267537</v>
      </c>
      <c r="J43" s="333">
        <v>2048</v>
      </c>
      <c r="K43" s="333">
        <v>693</v>
      </c>
      <c r="L43" s="333">
        <v>5489</v>
      </c>
      <c r="M43" s="361" t="s">
        <v>166</v>
      </c>
      <c r="N43" s="498"/>
      <c r="O43" s="532"/>
      <c r="P43" s="163" t="s">
        <v>90</v>
      </c>
      <c r="Q43" s="163" t="s">
        <v>90</v>
      </c>
      <c r="R43" s="163" t="s">
        <v>108</v>
      </c>
      <c r="S43" s="163" t="s">
        <v>90</v>
      </c>
      <c r="T43" s="163" t="s">
        <v>90</v>
      </c>
      <c r="U43" s="163">
        <f t="shared" si="14"/>
        <v>0</v>
      </c>
      <c r="V43" s="163"/>
      <c r="W43" s="163"/>
      <c r="X43" s="563"/>
      <c r="Y43" s="75">
        <f t="shared" si="4"/>
        <v>6182</v>
      </c>
    </row>
    <row r="44" spans="1:25" hidden="1" x14ac:dyDescent="0.3">
      <c r="A44" s="736"/>
      <c r="B44" s="497" t="s">
        <v>161</v>
      </c>
      <c r="C44" s="333">
        <v>0</v>
      </c>
      <c r="D44" s="333">
        <v>70</v>
      </c>
      <c r="E44" s="333">
        <v>439</v>
      </c>
      <c r="F44" s="333">
        <v>444</v>
      </c>
      <c r="G44" s="333">
        <f t="shared" si="15"/>
        <v>953</v>
      </c>
      <c r="H44" s="374">
        <f t="shared" si="19"/>
        <v>731</v>
      </c>
      <c r="I44" s="334">
        <f t="shared" si="2"/>
        <v>0.76705141657922349</v>
      </c>
      <c r="J44" s="333">
        <v>414</v>
      </c>
      <c r="K44" s="333">
        <v>94</v>
      </c>
      <c r="L44" s="333">
        <v>1273</v>
      </c>
      <c r="M44" s="361" t="s">
        <v>60</v>
      </c>
      <c r="N44" s="498"/>
      <c r="O44" s="532"/>
      <c r="P44" s="163" t="s">
        <v>90</v>
      </c>
      <c r="Q44" s="163" t="s">
        <v>90</v>
      </c>
      <c r="R44" s="163" t="s">
        <v>108</v>
      </c>
      <c r="S44" s="163" t="s">
        <v>90</v>
      </c>
      <c r="T44" s="163" t="s">
        <v>90</v>
      </c>
      <c r="U44" s="163">
        <f t="shared" si="14"/>
        <v>0</v>
      </c>
      <c r="V44" s="163"/>
      <c r="W44" s="163"/>
      <c r="X44" s="563"/>
      <c r="Y44" s="75">
        <f t="shared" si="4"/>
        <v>1367</v>
      </c>
    </row>
    <row r="45" spans="1:25" hidden="1" x14ac:dyDescent="0.3">
      <c r="A45" s="736"/>
      <c r="B45" s="497" t="s">
        <v>162</v>
      </c>
      <c r="C45" s="333">
        <v>0</v>
      </c>
      <c r="D45" s="333">
        <v>0</v>
      </c>
      <c r="E45" s="333">
        <v>0</v>
      </c>
      <c r="F45" s="333">
        <v>0</v>
      </c>
      <c r="G45" s="333">
        <v>0</v>
      </c>
      <c r="H45" s="374">
        <f t="shared" si="19"/>
        <v>0</v>
      </c>
      <c r="I45" s="334">
        <f t="shared" si="2"/>
        <v>0</v>
      </c>
      <c r="J45" s="333">
        <v>421</v>
      </c>
      <c r="K45" s="333" t="s">
        <v>163</v>
      </c>
      <c r="L45" s="333">
        <v>421</v>
      </c>
      <c r="M45" s="361" t="s">
        <v>167</v>
      </c>
      <c r="N45" s="498"/>
      <c r="O45" s="532"/>
      <c r="P45" s="163" t="s">
        <v>90</v>
      </c>
      <c r="Q45" s="163" t="s">
        <v>90</v>
      </c>
      <c r="R45" s="163" t="s">
        <v>108</v>
      </c>
      <c r="S45" s="163" t="s">
        <v>90</v>
      </c>
      <c r="T45" s="163" t="s">
        <v>90</v>
      </c>
      <c r="U45" s="163">
        <f t="shared" si="14"/>
        <v>0</v>
      </c>
      <c r="V45" s="163"/>
      <c r="W45" s="163"/>
      <c r="X45" s="563"/>
      <c r="Y45" s="75">
        <f t="shared" si="4"/>
        <v>421</v>
      </c>
    </row>
    <row r="46" spans="1:25" ht="28.8" hidden="1" x14ac:dyDescent="0.3">
      <c r="A46" s="736"/>
      <c r="B46" s="497" t="s">
        <v>75</v>
      </c>
      <c r="C46" s="333">
        <v>0</v>
      </c>
      <c r="D46" s="333">
        <v>0</v>
      </c>
      <c r="E46" s="333">
        <v>26</v>
      </c>
      <c r="F46" s="333">
        <v>1289</v>
      </c>
      <c r="G46" s="333">
        <f>SUM(C46:F46)</f>
        <v>1315</v>
      </c>
      <c r="H46" s="374">
        <f t="shared" si="19"/>
        <v>670.5</v>
      </c>
      <c r="I46" s="334">
        <f t="shared" si="2"/>
        <v>0.50988593155893536</v>
      </c>
      <c r="J46" s="333">
        <v>1202</v>
      </c>
      <c r="K46" s="333">
        <v>497</v>
      </c>
      <c r="L46" s="333">
        <v>2019</v>
      </c>
      <c r="M46" s="361" t="s">
        <v>144</v>
      </c>
      <c r="N46" s="498"/>
      <c r="O46" s="532" t="s">
        <v>200</v>
      </c>
      <c r="P46" s="163" t="s">
        <v>132</v>
      </c>
      <c r="Q46" s="163" t="s">
        <v>132</v>
      </c>
      <c r="R46" s="163">
        <v>9</v>
      </c>
      <c r="S46" s="163">
        <v>113</v>
      </c>
      <c r="T46" s="163">
        <v>233</v>
      </c>
      <c r="U46" s="163">
        <f t="shared" si="14"/>
        <v>355</v>
      </c>
      <c r="V46" s="163"/>
      <c r="W46" s="163"/>
      <c r="X46" s="563" t="s">
        <v>136</v>
      </c>
      <c r="Y46" s="75">
        <f t="shared" si="4"/>
        <v>2872</v>
      </c>
    </row>
    <row r="47" spans="1:25" hidden="1" x14ac:dyDescent="0.3">
      <c r="A47" s="736"/>
      <c r="B47" s="497" t="s">
        <v>76</v>
      </c>
      <c r="C47" s="333">
        <v>0</v>
      </c>
      <c r="D47" s="333">
        <v>181</v>
      </c>
      <c r="E47" s="333">
        <v>1699</v>
      </c>
      <c r="F47" s="333">
        <v>3131</v>
      </c>
      <c r="G47" s="333">
        <f>SUM(C47:F47)</f>
        <v>5011</v>
      </c>
      <c r="H47" s="374">
        <f t="shared" si="19"/>
        <v>3445.5</v>
      </c>
      <c r="I47" s="334">
        <f t="shared" si="2"/>
        <v>0.68758730792257039</v>
      </c>
      <c r="J47" s="333">
        <v>417</v>
      </c>
      <c r="K47" s="333">
        <v>1651</v>
      </c>
      <c r="L47" s="333">
        <v>3777</v>
      </c>
      <c r="M47" s="361" t="s">
        <v>145</v>
      </c>
      <c r="N47" s="498"/>
      <c r="O47" s="532" t="s">
        <v>200</v>
      </c>
      <c r="P47" s="163" t="s">
        <v>132</v>
      </c>
      <c r="Q47" s="163">
        <v>12</v>
      </c>
      <c r="R47" s="163">
        <v>392</v>
      </c>
      <c r="S47" s="163">
        <v>526</v>
      </c>
      <c r="T47" s="163">
        <v>75</v>
      </c>
      <c r="U47" s="163">
        <f t="shared" si="14"/>
        <v>1005</v>
      </c>
      <c r="V47" s="163"/>
      <c r="W47" s="163"/>
      <c r="X47" s="564" t="s">
        <v>137</v>
      </c>
      <c r="Y47" s="75">
        <f t="shared" si="4"/>
        <v>6433</v>
      </c>
    </row>
    <row r="48" spans="1:25" hidden="1" x14ac:dyDescent="0.3">
      <c r="A48" s="736"/>
      <c r="B48" s="497" t="s">
        <v>77</v>
      </c>
      <c r="C48" s="333">
        <v>0</v>
      </c>
      <c r="D48" s="333">
        <v>0</v>
      </c>
      <c r="E48" s="333">
        <v>0</v>
      </c>
      <c r="F48" s="333">
        <v>366</v>
      </c>
      <c r="G48" s="333">
        <f>SUM(C48:F48)</f>
        <v>366</v>
      </c>
      <c r="H48" s="374">
        <f t="shared" si="19"/>
        <v>183</v>
      </c>
      <c r="I48" s="334">
        <f t="shared" si="2"/>
        <v>0.5</v>
      </c>
      <c r="J48" s="333">
        <v>3</v>
      </c>
      <c r="K48" s="333" t="s">
        <v>132</v>
      </c>
      <c r="L48" s="333">
        <v>370</v>
      </c>
      <c r="M48" s="361" t="s">
        <v>146</v>
      </c>
      <c r="N48" s="498"/>
      <c r="O48" s="532"/>
      <c r="P48" s="163" t="s">
        <v>132</v>
      </c>
      <c r="Q48" s="163" t="s">
        <v>132</v>
      </c>
      <c r="R48" s="163" t="s">
        <v>132</v>
      </c>
      <c r="S48" s="163" t="s">
        <v>132</v>
      </c>
      <c r="T48" s="163" t="s">
        <v>132</v>
      </c>
      <c r="U48" s="163">
        <f t="shared" si="14"/>
        <v>0</v>
      </c>
      <c r="V48" s="163"/>
      <c r="W48" s="163"/>
      <c r="X48" s="564"/>
      <c r="Y48" s="75">
        <f t="shared" si="4"/>
        <v>369</v>
      </c>
    </row>
    <row r="49" spans="1:25" hidden="1" x14ac:dyDescent="0.3">
      <c r="A49" s="736"/>
      <c r="B49" s="497" t="s">
        <v>78</v>
      </c>
      <c r="C49" s="333">
        <v>0</v>
      </c>
      <c r="D49" s="333">
        <v>0</v>
      </c>
      <c r="E49" s="333">
        <v>0</v>
      </c>
      <c r="F49" s="333">
        <v>21</v>
      </c>
      <c r="G49" s="333">
        <f>SUM(C49:F49)</f>
        <v>21</v>
      </c>
      <c r="H49" s="374">
        <f t="shared" si="19"/>
        <v>10.5</v>
      </c>
      <c r="I49" s="334">
        <f t="shared" si="2"/>
        <v>0.5</v>
      </c>
      <c r="J49" s="333">
        <v>191</v>
      </c>
      <c r="K49" s="333" t="s">
        <v>132</v>
      </c>
      <c r="L49" s="333">
        <v>212</v>
      </c>
      <c r="M49" s="361" t="s">
        <v>147</v>
      </c>
      <c r="N49" s="498"/>
      <c r="O49" s="532"/>
      <c r="P49" s="163" t="s">
        <v>132</v>
      </c>
      <c r="Q49" s="163" t="s">
        <v>132</v>
      </c>
      <c r="R49" s="163" t="s">
        <v>132</v>
      </c>
      <c r="S49" s="163" t="s">
        <v>132</v>
      </c>
      <c r="T49" s="163" t="s">
        <v>132</v>
      </c>
      <c r="U49" s="163">
        <f t="shared" si="14"/>
        <v>0</v>
      </c>
      <c r="V49" s="163"/>
      <c r="W49" s="163"/>
      <c r="X49" s="564"/>
      <c r="Y49" s="75">
        <f t="shared" si="4"/>
        <v>212</v>
      </c>
    </row>
    <row r="50" spans="1:25" hidden="1" x14ac:dyDescent="0.3">
      <c r="A50" s="736"/>
      <c r="B50" s="500" t="s">
        <v>79</v>
      </c>
      <c r="C50" s="333">
        <v>0</v>
      </c>
      <c r="D50" s="333">
        <v>0</v>
      </c>
      <c r="E50" s="333">
        <v>0</v>
      </c>
      <c r="F50" s="333">
        <v>0</v>
      </c>
      <c r="G50" s="333">
        <v>0</v>
      </c>
      <c r="H50" s="374">
        <f t="shared" si="19"/>
        <v>0</v>
      </c>
      <c r="I50" s="334">
        <f t="shared" si="2"/>
        <v>0</v>
      </c>
      <c r="J50" s="333">
        <v>59</v>
      </c>
      <c r="K50" s="333">
        <v>2</v>
      </c>
      <c r="L50" s="333">
        <v>57</v>
      </c>
      <c r="M50" s="361" t="s">
        <v>148</v>
      </c>
      <c r="N50" s="498"/>
      <c r="O50" s="532"/>
      <c r="P50" s="163" t="s">
        <v>132</v>
      </c>
      <c r="Q50" s="163" t="s">
        <v>132</v>
      </c>
      <c r="R50" s="163" t="s">
        <v>132</v>
      </c>
      <c r="S50" s="163" t="s">
        <v>132</v>
      </c>
      <c r="T50" s="163" t="s">
        <v>132</v>
      </c>
      <c r="U50" s="163">
        <f t="shared" si="14"/>
        <v>0</v>
      </c>
      <c r="V50" s="163"/>
      <c r="W50" s="163"/>
      <c r="X50" s="564"/>
      <c r="Y50" s="75">
        <f t="shared" si="4"/>
        <v>59</v>
      </c>
    </row>
    <row r="51" spans="1:25" hidden="1" x14ac:dyDescent="0.3">
      <c r="A51" s="736"/>
      <c r="B51" s="500" t="s">
        <v>80</v>
      </c>
      <c r="C51" s="333">
        <v>0</v>
      </c>
      <c r="D51" s="333">
        <v>0</v>
      </c>
      <c r="E51" s="333">
        <v>0</v>
      </c>
      <c r="F51" s="333">
        <v>37</v>
      </c>
      <c r="G51" s="333">
        <f t="shared" ref="G51:G72" si="20">SUM(C51:F51)</f>
        <v>37</v>
      </c>
      <c r="H51" s="374">
        <f t="shared" si="19"/>
        <v>18.5</v>
      </c>
      <c r="I51" s="334">
        <f t="shared" si="2"/>
        <v>0.5</v>
      </c>
      <c r="J51" s="333">
        <v>27</v>
      </c>
      <c r="K51" s="333" t="s">
        <v>132</v>
      </c>
      <c r="L51" s="333">
        <v>64</v>
      </c>
      <c r="M51" s="361" t="s">
        <v>149</v>
      </c>
      <c r="N51" s="498"/>
      <c r="O51" s="532"/>
      <c r="P51" s="163" t="s">
        <v>132</v>
      </c>
      <c r="Q51" s="163" t="s">
        <v>132</v>
      </c>
      <c r="R51" s="163" t="s">
        <v>132</v>
      </c>
      <c r="S51" s="163" t="s">
        <v>132</v>
      </c>
      <c r="T51" s="163" t="s">
        <v>132</v>
      </c>
      <c r="U51" s="163">
        <f t="shared" si="14"/>
        <v>0</v>
      </c>
      <c r="V51" s="163"/>
      <c r="W51" s="163"/>
      <c r="X51" s="564"/>
      <c r="Y51" s="75">
        <f t="shared" si="4"/>
        <v>64</v>
      </c>
    </row>
    <row r="52" spans="1:25" hidden="1" x14ac:dyDescent="0.3">
      <c r="A52" s="736"/>
      <c r="B52" s="497" t="s">
        <v>81</v>
      </c>
      <c r="C52" s="333">
        <v>59</v>
      </c>
      <c r="D52" s="333">
        <v>29</v>
      </c>
      <c r="E52" s="333">
        <v>73</v>
      </c>
      <c r="F52" s="333">
        <v>440</v>
      </c>
      <c r="G52" s="333">
        <f t="shared" si="20"/>
        <v>601</v>
      </c>
      <c r="H52" s="374">
        <f t="shared" si="19"/>
        <v>381</v>
      </c>
      <c r="I52" s="334">
        <f t="shared" si="2"/>
        <v>0.63394342762063227</v>
      </c>
      <c r="J52" s="333">
        <v>24</v>
      </c>
      <c r="K52" s="333">
        <v>5</v>
      </c>
      <c r="L52" s="333">
        <v>620</v>
      </c>
      <c r="M52" s="361" t="s">
        <v>149</v>
      </c>
      <c r="N52" s="498"/>
      <c r="O52" s="532"/>
      <c r="P52" s="163" t="s">
        <v>132</v>
      </c>
      <c r="Q52" s="163" t="s">
        <v>132</v>
      </c>
      <c r="R52" s="163" t="s">
        <v>132</v>
      </c>
      <c r="S52" s="163" t="s">
        <v>132</v>
      </c>
      <c r="T52" s="163" t="s">
        <v>132</v>
      </c>
      <c r="U52" s="163">
        <f t="shared" si="14"/>
        <v>0</v>
      </c>
      <c r="V52" s="163"/>
      <c r="W52" s="163"/>
      <c r="X52" s="564"/>
      <c r="Y52" s="75">
        <f t="shared" si="4"/>
        <v>625</v>
      </c>
    </row>
    <row r="53" spans="1:25" hidden="1" x14ac:dyDescent="0.3">
      <c r="A53" s="736"/>
      <c r="B53" s="500" t="s">
        <v>82</v>
      </c>
      <c r="C53" s="333">
        <v>0</v>
      </c>
      <c r="D53" s="333">
        <v>0</v>
      </c>
      <c r="E53" s="333">
        <v>0</v>
      </c>
      <c r="F53" s="333">
        <v>0</v>
      </c>
      <c r="G53" s="333">
        <f t="shared" si="20"/>
        <v>0</v>
      </c>
      <c r="H53" s="374">
        <f t="shared" si="19"/>
        <v>0</v>
      </c>
      <c r="I53" s="334">
        <f t="shared" si="2"/>
        <v>0</v>
      </c>
      <c r="J53" s="333">
        <v>235</v>
      </c>
      <c r="K53" s="333">
        <v>29</v>
      </c>
      <c r="L53" s="333">
        <v>206</v>
      </c>
      <c r="M53" s="542" t="s">
        <v>113</v>
      </c>
      <c r="N53" s="498"/>
      <c r="O53" s="532"/>
      <c r="P53" s="163" t="s">
        <v>132</v>
      </c>
      <c r="Q53" s="163" t="s">
        <v>132</v>
      </c>
      <c r="R53" s="163" t="s">
        <v>132</v>
      </c>
      <c r="S53" s="163" t="s">
        <v>132</v>
      </c>
      <c r="T53" s="163" t="s">
        <v>132</v>
      </c>
      <c r="U53" s="163">
        <f t="shared" si="14"/>
        <v>0</v>
      </c>
      <c r="V53" s="163"/>
      <c r="W53" s="163"/>
      <c r="X53" s="564"/>
      <c r="Y53" s="75">
        <f t="shared" si="4"/>
        <v>235</v>
      </c>
    </row>
    <row r="54" spans="1:25" hidden="1" x14ac:dyDescent="0.3">
      <c r="A54" s="736"/>
      <c r="B54" s="500" t="s">
        <v>83</v>
      </c>
      <c r="C54" s="333">
        <v>0</v>
      </c>
      <c r="D54" s="333">
        <v>0</v>
      </c>
      <c r="E54" s="333">
        <v>50</v>
      </c>
      <c r="F54" s="333">
        <v>3747</v>
      </c>
      <c r="G54" s="333">
        <f t="shared" si="20"/>
        <v>3797</v>
      </c>
      <c r="H54" s="374">
        <f t="shared" si="19"/>
        <v>1923.5</v>
      </c>
      <c r="I54" s="334">
        <f t="shared" si="2"/>
        <v>0.50658414537792995</v>
      </c>
      <c r="J54" s="333">
        <v>4179</v>
      </c>
      <c r="K54" s="333">
        <v>224</v>
      </c>
      <c r="L54" s="333">
        <v>7752</v>
      </c>
      <c r="M54" s="361" t="s">
        <v>150</v>
      </c>
      <c r="N54" s="498"/>
      <c r="O54" s="543" t="s">
        <v>200</v>
      </c>
      <c r="P54" s="163" t="s">
        <v>132</v>
      </c>
      <c r="Q54" s="163" t="s">
        <v>132</v>
      </c>
      <c r="R54" s="163">
        <v>0</v>
      </c>
      <c r="S54" s="163">
        <v>891</v>
      </c>
      <c r="T54" s="163">
        <v>1298</v>
      </c>
      <c r="U54" s="163">
        <f t="shared" si="14"/>
        <v>2189</v>
      </c>
      <c r="V54" s="163"/>
      <c r="W54" s="163"/>
      <c r="X54" s="564" t="s">
        <v>211</v>
      </c>
      <c r="Y54" s="75">
        <f t="shared" si="4"/>
        <v>10165</v>
      </c>
    </row>
    <row r="55" spans="1:25" hidden="1" x14ac:dyDescent="0.3">
      <c r="A55" s="736"/>
      <c r="B55" s="500" t="s">
        <v>84</v>
      </c>
      <c r="C55" s="333">
        <v>0</v>
      </c>
      <c r="D55" s="333">
        <v>0</v>
      </c>
      <c r="E55" s="333">
        <v>1</v>
      </c>
      <c r="F55" s="333">
        <v>0</v>
      </c>
      <c r="G55" s="333">
        <f t="shared" si="20"/>
        <v>1</v>
      </c>
      <c r="H55" s="374">
        <f t="shared" si="19"/>
        <v>1</v>
      </c>
      <c r="I55" s="334">
        <f t="shared" si="2"/>
        <v>1</v>
      </c>
      <c r="J55" s="333">
        <v>0</v>
      </c>
      <c r="K55" s="333" t="s">
        <v>132</v>
      </c>
      <c r="L55" s="333">
        <v>1</v>
      </c>
      <c r="M55" s="361" t="s">
        <v>151</v>
      </c>
      <c r="N55" s="498"/>
      <c r="O55" s="532" t="s">
        <v>200</v>
      </c>
      <c r="P55" s="163" t="s">
        <v>132</v>
      </c>
      <c r="Q55" s="163" t="s">
        <v>132</v>
      </c>
      <c r="R55" s="163">
        <v>14</v>
      </c>
      <c r="S55" s="163" t="s">
        <v>132</v>
      </c>
      <c r="T55" s="163">
        <v>16</v>
      </c>
      <c r="U55" s="163">
        <f t="shared" si="14"/>
        <v>30</v>
      </c>
      <c r="V55" s="163"/>
      <c r="W55" s="163"/>
      <c r="X55" s="564" t="s">
        <v>210</v>
      </c>
      <c r="Y55" s="75">
        <f t="shared" si="4"/>
        <v>31</v>
      </c>
    </row>
    <row r="56" spans="1:25" hidden="1" x14ac:dyDescent="0.3">
      <c r="A56" s="736"/>
      <c r="B56" s="500" t="s">
        <v>85</v>
      </c>
      <c r="C56" s="333">
        <v>0</v>
      </c>
      <c r="D56" s="333">
        <v>0</v>
      </c>
      <c r="E56" s="333">
        <v>0</v>
      </c>
      <c r="F56" s="333">
        <v>15</v>
      </c>
      <c r="G56" s="333">
        <f t="shared" si="20"/>
        <v>15</v>
      </c>
      <c r="H56" s="374">
        <f t="shared" si="19"/>
        <v>7.5</v>
      </c>
      <c r="I56" s="334">
        <f t="shared" si="2"/>
        <v>0.5</v>
      </c>
      <c r="J56" s="333">
        <v>293</v>
      </c>
      <c r="K56" s="333">
        <v>35</v>
      </c>
      <c r="L56" s="333">
        <v>273</v>
      </c>
      <c r="M56" s="361" t="s">
        <v>147</v>
      </c>
      <c r="N56" s="498"/>
      <c r="O56" s="534"/>
      <c r="P56" s="163" t="s">
        <v>132</v>
      </c>
      <c r="Q56" s="163" t="s">
        <v>132</v>
      </c>
      <c r="R56" s="163" t="s">
        <v>132</v>
      </c>
      <c r="S56" s="163" t="s">
        <v>132</v>
      </c>
      <c r="T56" s="163" t="s">
        <v>132</v>
      </c>
      <c r="U56" s="163">
        <f t="shared" si="14"/>
        <v>0</v>
      </c>
      <c r="V56" s="163"/>
      <c r="W56" s="163"/>
      <c r="X56" s="564"/>
      <c r="Y56" s="75">
        <f t="shared" si="4"/>
        <v>308</v>
      </c>
    </row>
    <row r="57" spans="1:25" hidden="1" x14ac:dyDescent="0.3">
      <c r="A57" s="736"/>
      <c r="B57" s="500" t="s">
        <v>86</v>
      </c>
      <c r="C57" s="333">
        <v>0</v>
      </c>
      <c r="D57" s="333">
        <v>0</v>
      </c>
      <c r="E57" s="333">
        <v>0</v>
      </c>
      <c r="F57" s="333">
        <v>663</v>
      </c>
      <c r="G57" s="333">
        <f t="shared" si="20"/>
        <v>663</v>
      </c>
      <c r="H57" s="374">
        <f t="shared" si="19"/>
        <v>331.5</v>
      </c>
      <c r="I57" s="334">
        <f t="shared" si="2"/>
        <v>0.5</v>
      </c>
      <c r="J57" s="333">
        <v>1036</v>
      </c>
      <c r="K57" s="333">
        <v>12</v>
      </c>
      <c r="L57" s="333">
        <v>1687</v>
      </c>
      <c r="M57" s="361" t="s">
        <v>149</v>
      </c>
      <c r="N57" s="498"/>
      <c r="O57" s="534"/>
      <c r="P57" s="163" t="s">
        <v>132</v>
      </c>
      <c r="Q57" s="163" t="s">
        <v>132</v>
      </c>
      <c r="R57" s="163" t="s">
        <v>132</v>
      </c>
      <c r="S57" s="163" t="s">
        <v>132</v>
      </c>
      <c r="T57" s="163" t="s">
        <v>132</v>
      </c>
      <c r="U57" s="163">
        <f t="shared" si="14"/>
        <v>0</v>
      </c>
      <c r="V57" s="163"/>
      <c r="W57" s="163"/>
      <c r="X57" s="564"/>
      <c r="Y57" s="75">
        <f t="shared" si="4"/>
        <v>1699</v>
      </c>
    </row>
    <row r="58" spans="1:25" hidden="1" x14ac:dyDescent="0.3">
      <c r="A58" s="736"/>
      <c r="B58" s="500" t="s">
        <v>87</v>
      </c>
      <c r="C58" s="333">
        <v>0</v>
      </c>
      <c r="D58" s="333">
        <v>0</v>
      </c>
      <c r="E58" s="333">
        <v>0</v>
      </c>
      <c r="F58" s="333">
        <v>35</v>
      </c>
      <c r="G58" s="333">
        <f t="shared" si="20"/>
        <v>35</v>
      </c>
      <c r="H58" s="374">
        <f t="shared" si="19"/>
        <v>17.5</v>
      </c>
      <c r="I58" s="334">
        <f t="shared" si="2"/>
        <v>0.5</v>
      </c>
      <c r="J58" s="333">
        <v>6</v>
      </c>
      <c r="K58" s="333" t="s">
        <v>132</v>
      </c>
      <c r="L58" s="333">
        <v>41</v>
      </c>
      <c r="M58" s="542" t="s">
        <v>152</v>
      </c>
      <c r="N58" s="498"/>
      <c r="O58" s="534"/>
      <c r="P58" s="163" t="s">
        <v>132</v>
      </c>
      <c r="Q58" s="163" t="s">
        <v>132</v>
      </c>
      <c r="R58" s="163" t="s">
        <v>132</v>
      </c>
      <c r="S58" s="163" t="s">
        <v>132</v>
      </c>
      <c r="T58" s="163" t="s">
        <v>132</v>
      </c>
      <c r="U58" s="163">
        <f t="shared" si="14"/>
        <v>0</v>
      </c>
      <c r="V58" s="163"/>
      <c r="W58" s="163"/>
      <c r="X58" s="564"/>
      <c r="Y58" s="75">
        <f t="shared" si="4"/>
        <v>41</v>
      </c>
    </row>
    <row r="59" spans="1:25" x14ac:dyDescent="0.3">
      <c r="A59" s="392" t="s">
        <v>14</v>
      </c>
      <c r="B59" s="496" t="s">
        <v>204</v>
      </c>
      <c r="C59" s="374">
        <f>SUM(C42:C58)</f>
        <v>59</v>
      </c>
      <c r="D59" s="374">
        <f>SUM(D42:D58)</f>
        <v>723</v>
      </c>
      <c r="E59" s="374">
        <f>SUM(E42:E58)</f>
        <v>2671</v>
      </c>
      <c r="F59" s="374">
        <f>SUM(F42:F58)</f>
        <v>13515</v>
      </c>
      <c r="G59" s="333">
        <f t="shared" si="20"/>
        <v>16968</v>
      </c>
      <c r="H59" s="374">
        <f t="shared" si="19"/>
        <v>10210.5</v>
      </c>
      <c r="I59" s="334">
        <f t="shared" si="2"/>
        <v>0.6017503536067893</v>
      </c>
      <c r="J59" s="374">
        <f>SUM(J42:J58)</f>
        <v>10555</v>
      </c>
      <c r="K59" s="374">
        <f>SUM(K42:K58)</f>
        <v>3242</v>
      </c>
      <c r="L59" s="374">
        <f>SUM(L42:L58)</f>
        <v>24281</v>
      </c>
      <c r="M59" s="377"/>
      <c r="N59" s="498"/>
      <c r="O59" s="18"/>
      <c r="P59" s="175">
        <f>SUM(P42:P58)</f>
        <v>0</v>
      </c>
      <c r="Q59" s="175">
        <f>SUM(Q42:Q58)</f>
        <v>12</v>
      </c>
      <c r="R59" s="175">
        <f>SUM(R42:R58)</f>
        <v>415</v>
      </c>
      <c r="S59" s="175">
        <f>SUM(S42:S58)</f>
        <v>1530</v>
      </c>
      <c r="T59" s="175">
        <f>SUM(T42:T58)</f>
        <v>1622</v>
      </c>
      <c r="U59" s="163">
        <f>SUM(P59:T59)</f>
        <v>3579</v>
      </c>
      <c r="V59" s="175">
        <f>SUM(V42:V58)</f>
        <v>0</v>
      </c>
      <c r="W59" s="175">
        <f>SUM(W42:W58)</f>
        <v>0</v>
      </c>
      <c r="X59" s="21">
        <f>SUM(X42:X58)</f>
        <v>0</v>
      </c>
      <c r="Y59" s="75">
        <f t="shared" si="4"/>
        <v>31102</v>
      </c>
    </row>
    <row r="60" spans="1:25" hidden="1" x14ac:dyDescent="0.3">
      <c r="A60" s="724" t="s">
        <v>9</v>
      </c>
      <c r="B60" s="497" t="s">
        <v>6</v>
      </c>
      <c r="C60" s="333">
        <v>44</v>
      </c>
      <c r="D60" s="333">
        <v>805</v>
      </c>
      <c r="E60" s="333">
        <v>2236</v>
      </c>
      <c r="F60" s="333">
        <v>3023</v>
      </c>
      <c r="G60" s="333">
        <f t="shared" si="20"/>
        <v>6108</v>
      </c>
      <c r="H60" s="374">
        <f t="shared" si="19"/>
        <v>4596.5</v>
      </c>
      <c r="I60" s="334">
        <f t="shared" si="2"/>
        <v>0.75253765553372631</v>
      </c>
      <c r="J60" s="333">
        <v>149</v>
      </c>
      <c r="K60" s="333">
        <v>138</v>
      </c>
      <c r="L60" s="333">
        <f>C60+D60+E60+F60+J60-K60</f>
        <v>6119</v>
      </c>
      <c r="M60" s="361" t="s">
        <v>109</v>
      </c>
      <c r="N60" s="498"/>
      <c r="O60" s="532"/>
      <c r="P60" s="163">
        <v>0</v>
      </c>
      <c r="Q60" s="163">
        <v>0</v>
      </c>
      <c r="R60" s="163">
        <v>0</v>
      </c>
      <c r="S60" s="163">
        <v>0</v>
      </c>
      <c r="T60" s="163">
        <v>0</v>
      </c>
      <c r="U60" s="163">
        <f t="shared" si="14"/>
        <v>0</v>
      </c>
      <c r="V60" s="163">
        <v>0</v>
      </c>
      <c r="W60" s="163"/>
      <c r="X60" s="564"/>
      <c r="Y60" s="75">
        <f t="shared" si="4"/>
        <v>6257</v>
      </c>
    </row>
    <row r="61" spans="1:25" hidden="1" x14ac:dyDescent="0.3">
      <c r="A61" s="724"/>
      <c r="B61" s="497" t="s">
        <v>38</v>
      </c>
      <c r="C61" s="333">
        <v>117</v>
      </c>
      <c r="D61" s="333">
        <v>17</v>
      </c>
      <c r="E61" s="333">
        <v>128</v>
      </c>
      <c r="F61" s="333">
        <v>169</v>
      </c>
      <c r="G61" s="333">
        <f t="shared" si="20"/>
        <v>431</v>
      </c>
      <c r="H61" s="374">
        <f t="shared" si="19"/>
        <v>346.5</v>
      </c>
      <c r="I61" s="334">
        <f t="shared" si="2"/>
        <v>0.80394431554524359</v>
      </c>
      <c r="J61" s="333">
        <v>36</v>
      </c>
      <c r="K61" s="333">
        <v>5</v>
      </c>
      <c r="L61" s="333">
        <f t="shared" ref="L61:L71" si="21">C61+D61+E61+F61+J61-K61</f>
        <v>462</v>
      </c>
      <c r="M61" s="361" t="s">
        <v>109</v>
      </c>
      <c r="N61" s="498"/>
      <c r="O61" s="532"/>
      <c r="P61" s="163">
        <v>0</v>
      </c>
      <c r="Q61" s="163">
        <v>0</v>
      </c>
      <c r="R61" s="163">
        <v>0</v>
      </c>
      <c r="S61" s="163">
        <v>0</v>
      </c>
      <c r="T61" s="163">
        <v>0</v>
      </c>
      <c r="U61" s="163">
        <f t="shared" si="14"/>
        <v>0</v>
      </c>
      <c r="V61" s="163">
        <v>0</v>
      </c>
      <c r="W61" s="163"/>
      <c r="X61" s="564"/>
      <c r="Y61" s="75">
        <f t="shared" si="4"/>
        <v>467</v>
      </c>
    </row>
    <row r="62" spans="1:25" hidden="1" x14ac:dyDescent="0.3">
      <c r="A62" s="724"/>
      <c r="B62" s="503" t="s">
        <v>19</v>
      </c>
      <c r="C62" s="333">
        <v>0</v>
      </c>
      <c r="D62" s="333">
        <v>40</v>
      </c>
      <c r="E62" s="333">
        <f>254+24</f>
        <v>278</v>
      </c>
      <c r="F62" s="333">
        <f>1025+310</f>
        <v>1335</v>
      </c>
      <c r="G62" s="333">
        <f t="shared" si="20"/>
        <v>1653</v>
      </c>
      <c r="H62" s="374">
        <f t="shared" si="19"/>
        <v>985.5</v>
      </c>
      <c r="I62" s="334">
        <f t="shared" si="2"/>
        <v>0.59618874773139741</v>
      </c>
      <c r="J62" s="333">
        <f>31+1</f>
        <v>32</v>
      </c>
      <c r="K62" s="333">
        <v>148</v>
      </c>
      <c r="L62" s="333">
        <f t="shared" si="21"/>
        <v>1537</v>
      </c>
      <c r="M62" s="361" t="s">
        <v>109</v>
      </c>
      <c r="N62" s="498"/>
      <c r="O62" s="534" t="s">
        <v>200</v>
      </c>
      <c r="P62" s="163">
        <v>0</v>
      </c>
      <c r="Q62" s="163">
        <v>0</v>
      </c>
      <c r="R62" s="163">
        <v>7</v>
      </c>
      <c r="S62" s="163">
        <v>67</v>
      </c>
      <c r="T62" s="163">
        <v>0</v>
      </c>
      <c r="U62" s="163">
        <f t="shared" si="14"/>
        <v>74</v>
      </c>
      <c r="V62" s="163">
        <v>8</v>
      </c>
      <c r="W62" s="163">
        <f>U62-V62</f>
        <v>66</v>
      </c>
      <c r="X62" s="564" t="s">
        <v>138</v>
      </c>
      <c r="Y62" s="75">
        <f t="shared" si="4"/>
        <v>1759</v>
      </c>
    </row>
    <row r="63" spans="1:25" hidden="1" x14ac:dyDescent="0.3">
      <c r="A63" s="724"/>
      <c r="B63" s="506" t="s">
        <v>20</v>
      </c>
      <c r="C63" s="544">
        <v>0</v>
      </c>
      <c r="D63" s="544">
        <f>145+680</f>
        <v>825</v>
      </c>
      <c r="E63" s="544">
        <f>603+1725</f>
        <v>2328</v>
      </c>
      <c r="F63" s="544">
        <f>322+1919</f>
        <v>2241</v>
      </c>
      <c r="G63" s="333">
        <f t="shared" si="20"/>
        <v>5394</v>
      </c>
      <c r="H63" s="374">
        <f t="shared" si="19"/>
        <v>4273.5</v>
      </c>
      <c r="I63" s="334">
        <f t="shared" si="2"/>
        <v>0.7922691879866518</v>
      </c>
      <c r="J63" s="544">
        <f>19+92</f>
        <v>111</v>
      </c>
      <c r="K63" s="544">
        <v>1286</v>
      </c>
      <c r="L63" s="333">
        <f t="shared" si="21"/>
        <v>4219</v>
      </c>
      <c r="M63" s="361" t="s">
        <v>110</v>
      </c>
      <c r="N63" s="498"/>
      <c r="O63" s="534" t="s">
        <v>200</v>
      </c>
      <c r="P63" s="163">
        <v>4</v>
      </c>
      <c r="Q63" s="163">
        <v>431</v>
      </c>
      <c r="R63" s="163">
        <v>1389</v>
      </c>
      <c r="S63" s="163">
        <v>2926</v>
      </c>
      <c r="T63" s="163">
        <v>18</v>
      </c>
      <c r="U63" s="163">
        <f t="shared" si="14"/>
        <v>4768</v>
      </c>
      <c r="V63" s="163">
        <v>2092</v>
      </c>
      <c r="W63" s="163">
        <f>U63-V63</f>
        <v>2676</v>
      </c>
      <c r="X63" s="564" t="s">
        <v>138</v>
      </c>
      <c r="Y63" s="75">
        <f t="shared" si="4"/>
        <v>10273</v>
      </c>
    </row>
    <row r="64" spans="1:25" hidden="1" x14ac:dyDescent="0.3">
      <c r="A64" s="724"/>
      <c r="B64" s="503" t="s">
        <v>27</v>
      </c>
      <c r="C64" s="333">
        <v>0</v>
      </c>
      <c r="D64" s="333">
        <f>7+72</f>
        <v>79</v>
      </c>
      <c r="E64" s="333">
        <f>613+1068</f>
        <v>1681</v>
      </c>
      <c r="F64" s="333">
        <f>348+1025</f>
        <v>1373</v>
      </c>
      <c r="G64" s="333">
        <f t="shared" si="20"/>
        <v>3133</v>
      </c>
      <c r="H64" s="374">
        <f t="shared" si="19"/>
        <v>2446.5</v>
      </c>
      <c r="I64" s="334">
        <f t="shared" si="2"/>
        <v>0.78088094478135972</v>
      </c>
      <c r="J64" s="333">
        <f>1+135</f>
        <v>136</v>
      </c>
      <c r="K64" s="333">
        <v>706</v>
      </c>
      <c r="L64" s="333">
        <f t="shared" si="21"/>
        <v>2563</v>
      </c>
      <c r="M64" s="361" t="s">
        <v>111</v>
      </c>
      <c r="N64" s="498"/>
      <c r="O64" s="534" t="s">
        <v>200</v>
      </c>
      <c r="P64" s="545">
        <v>0</v>
      </c>
      <c r="Q64" s="545">
        <v>38</v>
      </c>
      <c r="R64" s="545">
        <v>125</v>
      </c>
      <c r="S64" s="545">
        <v>352</v>
      </c>
      <c r="T64" s="545">
        <v>6</v>
      </c>
      <c r="U64" s="163">
        <f t="shared" si="14"/>
        <v>521</v>
      </c>
      <c r="V64" s="163">
        <v>205</v>
      </c>
      <c r="W64" s="163">
        <f>U64-V64</f>
        <v>316</v>
      </c>
      <c r="X64" s="564" t="s">
        <v>138</v>
      </c>
      <c r="Y64" s="75">
        <f t="shared" si="4"/>
        <v>3790</v>
      </c>
    </row>
    <row r="65" spans="1:25" hidden="1" x14ac:dyDescent="0.3">
      <c r="A65" s="724"/>
      <c r="B65" s="503" t="s">
        <v>28</v>
      </c>
      <c r="C65" s="333">
        <v>0</v>
      </c>
      <c r="D65" s="333">
        <v>0</v>
      </c>
      <c r="E65" s="333">
        <v>66</v>
      </c>
      <c r="F65" s="333">
        <v>674</v>
      </c>
      <c r="G65" s="333">
        <f t="shared" si="20"/>
        <v>740</v>
      </c>
      <c r="H65" s="374">
        <f t="shared" si="19"/>
        <v>403</v>
      </c>
      <c r="I65" s="334">
        <f t="shared" si="2"/>
        <v>0.54459459459459458</v>
      </c>
      <c r="J65" s="333">
        <v>44</v>
      </c>
      <c r="K65" s="333">
        <v>140</v>
      </c>
      <c r="L65" s="333">
        <f t="shared" si="21"/>
        <v>644</v>
      </c>
      <c r="M65" s="361" t="s">
        <v>111</v>
      </c>
      <c r="N65" s="498"/>
      <c r="O65" s="534"/>
      <c r="P65" s="163">
        <v>0</v>
      </c>
      <c r="Q65" s="163">
        <v>0</v>
      </c>
      <c r="R65" s="163">
        <v>0</v>
      </c>
      <c r="S65" s="163">
        <v>0</v>
      </c>
      <c r="T65" s="163">
        <v>0</v>
      </c>
      <c r="U65" s="163">
        <f t="shared" si="14"/>
        <v>0</v>
      </c>
      <c r="V65" s="163"/>
      <c r="W65" s="163"/>
      <c r="X65" s="565"/>
      <c r="Y65" s="75">
        <f t="shared" si="4"/>
        <v>784</v>
      </c>
    </row>
    <row r="66" spans="1:25" hidden="1" x14ac:dyDescent="0.3">
      <c r="A66" s="724"/>
      <c r="B66" s="503" t="s">
        <v>21</v>
      </c>
      <c r="C66" s="333">
        <v>0</v>
      </c>
      <c r="D66" s="333">
        <v>0</v>
      </c>
      <c r="E66" s="333">
        <f>89+1617</f>
        <v>1706</v>
      </c>
      <c r="F66" s="333">
        <f>419+825</f>
        <v>1244</v>
      </c>
      <c r="G66" s="333">
        <f t="shared" si="20"/>
        <v>2950</v>
      </c>
      <c r="H66" s="374">
        <f t="shared" si="19"/>
        <v>2328</v>
      </c>
      <c r="I66" s="334">
        <f t="shared" si="2"/>
        <v>0.78915254237288135</v>
      </c>
      <c r="J66" s="333">
        <f>18+135</f>
        <v>153</v>
      </c>
      <c r="K66" s="333">
        <v>460</v>
      </c>
      <c r="L66" s="333">
        <f t="shared" si="21"/>
        <v>2643</v>
      </c>
      <c r="M66" s="361" t="s">
        <v>111</v>
      </c>
      <c r="N66" s="498"/>
      <c r="O66" s="534"/>
      <c r="P66" s="163">
        <v>0</v>
      </c>
      <c r="Q66" s="163">
        <v>0</v>
      </c>
      <c r="R66" s="163">
        <v>0</v>
      </c>
      <c r="S66" s="163">
        <v>0</v>
      </c>
      <c r="T66" s="163">
        <v>0</v>
      </c>
      <c r="U66" s="163">
        <f t="shared" si="14"/>
        <v>0</v>
      </c>
      <c r="V66" s="163"/>
      <c r="W66" s="163"/>
      <c r="X66" s="564"/>
      <c r="Y66" s="75">
        <f t="shared" si="4"/>
        <v>3103</v>
      </c>
    </row>
    <row r="67" spans="1:25" hidden="1" x14ac:dyDescent="0.3">
      <c r="A67" s="724"/>
      <c r="B67" s="503" t="s">
        <v>22</v>
      </c>
      <c r="C67" s="333">
        <v>0</v>
      </c>
      <c r="D67" s="333">
        <v>8</v>
      </c>
      <c r="E67" s="333">
        <v>0</v>
      </c>
      <c r="F67" s="333">
        <v>5</v>
      </c>
      <c r="G67" s="333">
        <f t="shared" si="20"/>
        <v>13</v>
      </c>
      <c r="H67" s="374">
        <f t="shared" si="19"/>
        <v>10.5</v>
      </c>
      <c r="I67" s="334">
        <f t="shared" si="2"/>
        <v>0.80769230769230771</v>
      </c>
      <c r="J67" s="333">
        <v>54</v>
      </c>
      <c r="K67" s="333">
        <v>7</v>
      </c>
      <c r="L67" s="333">
        <f t="shared" si="21"/>
        <v>60</v>
      </c>
      <c r="M67" s="542" t="s">
        <v>113</v>
      </c>
      <c r="N67" s="498"/>
      <c r="O67" s="532"/>
      <c r="P67" s="163">
        <v>0</v>
      </c>
      <c r="Q67" s="163">
        <v>0</v>
      </c>
      <c r="R67" s="163">
        <v>0</v>
      </c>
      <c r="S67" s="163">
        <v>0</v>
      </c>
      <c r="T67" s="163">
        <v>0</v>
      </c>
      <c r="U67" s="163">
        <f t="shared" si="14"/>
        <v>0</v>
      </c>
      <c r="V67" s="163"/>
      <c r="W67" s="163"/>
      <c r="X67" s="564"/>
      <c r="Y67" s="75">
        <f t="shared" si="4"/>
        <v>67</v>
      </c>
    </row>
    <row r="68" spans="1:25" hidden="1" x14ac:dyDescent="0.3">
      <c r="A68" s="724"/>
      <c r="B68" s="503" t="s">
        <v>23</v>
      </c>
      <c r="C68" s="333">
        <v>144</v>
      </c>
      <c r="D68" s="333">
        <v>339</v>
      </c>
      <c r="E68" s="333">
        <v>1054</v>
      </c>
      <c r="F68" s="333">
        <v>1007</v>
      </c>
      <c r="G68" s="333">
        <f t="shared" si="20"/>
        <v>2544</v>
      </c>
      <c r="H68" s="374">
        <f t="shared" si="19"/>
        <v>2040.5</v>
      </c>
      <c r="I68" s="334">
        <f t="shared" si="2"/>
        <v>0.80208333333333337</v>
      </c>
      <c r="J68" s="333">
        <v>61</v>
      </c>
      <c r="K68" s="333">
        <v>86</v>
      </c>
      <c r="L68" s="333">
        <f t="shared" si="21"/>
        <v>2519</v>
      </c>
      <c r="M68" s="361" t="s">
        <v>112</v>
      </c>
      <c r="N68" s="498"/>
      <c r="O68" s="532"/>
      <c r="P68" s="163">
        <v>0</v>
      </c>
      <c r="Q68" s="163">
        <v>0</v>
      </c>
      <c r="R68" s="163">
        <v>0</v>
      </c>
      <c r="S68" s="163">
        <v>0</v>
      </c>
      <c r="T68" s="163">
        <v>0</v>
      </c>
      <c r="U68" s="163">
        <f t="shared" si="14"/>
        <v>0</v>
      </c>
      <c r="V68" s="163"/>
      <c r="W68" s="163"/>
      <c r="X68" s="564"/>
      <c r="Y68" s="75">
        <f t="shared" si="4"/>
        <v>2605</v>
      </c>
    </row>
    <row r="69" spans="1:25" hidden="1" x14ac:dyDescent="0.3">
      <c r="A69" s="724"/>
      <c r="B69" s="503" t="s">
        <v>24</v>
      </c>
      <c r="C69" s="333">
        <v>0</v>
      </c>
      <c r="D69" s="333">
        <v>0</v>
      </c>
      <c r="E69" s="333">
        <v>82</v>
      </c>
      <c r="F69" s="333">
        <v>169</v>
      </c>
      <c r="G69" s="333">
        <f t="shared" si="20"/>
        <v>251</v>
      </c>
      <c r="H69" s="374">
        <f t="shared" si="19"/>
        <v>166.5</v>
      </c>
      <c r="I69" s="334">
        <f t="shared" si="2"/>
        <v>0.6633466135458167</v>
      </c>
      <c r="J69" s="333">
        <v>140</v>
      </c>
      <c r="K69" s="333">
        <v>2</v>
      </c>
      <c r="L69" s="333">
        <f t="shared" si="21"/>
        <v>389</v>
      </c>
      <c r="M69" s="542" t="s">
        <v>113</v>
      </c>
      <c r="N69" s="498"/>
      <c r="O69" s="532"/>
      <c r="P69" s="163">
        <v>0</v>
      </c>
      <c r="Q69" s="163">
        <v>0</v>
      </c>
      <c r="R69" s="163">
        <v>0</v>
      </c>
      <c r="S69" s="163">
        <v>0</v>
      </c>
      <c r="T69" s="163">
        <v>0</v>
      </c>
      <c r="U69" s="163">
        <f t="shared" si="14"/>
        <v>0</v>
      </c>
      <c r="V69" s="163"/>
      <c r="W69" s="163"/>
      <c r="X69" s="564"/>
      <c r="Y69" s="75">
        <f t="shared" si="4"/>
        <v>391</v>
      </c>
    </row>
    <row r="70" spans="1:25" hidden="1" x14ac:dyDescent="0.3">
      <c r="A70" s="724"/>
      <c r="B70" s="503" t="s">
        <v>25</v>
      </c>
      <c r="C70" s="333">
        <v>0</v>
      </c>
      <c r="D70" s="333">
        <v>0</v>
      </c>
      <c r="E70" s="333">
        <v>15</v>
      </c>
      <c r="F70" s="333">
        <v>102</v>
      </c>
      <c r="G70" s="333">
        <f t="shared" si="20"/>
        <v>117</v>
      </c>
      <c r="H70" s="374">
        <f t="shared" si="19"/>
        <v>66</v>
      </c>
      <c r="I70" s="334">
        <f t="shared" si="2"/>
        <v>0.5641025641025641</v>
      </c>
      <c r="J70" s="333">
        <v>65</v>
      </c>
      <c r="K70" s="333">
        <v>0</v>
      </c>
      <c r="L70" s="333">
        <f t="shared" si="21"/>
        <v>182</v>
      </c>
      <c r="M70" s="542" t="s">
        <v>113</v>
      </c>
      <c r="N70" s="498"/>
      <c r="O70" s="532"/>
      <c r="P70" s="163">
        <v>0</v>
      </c>
      <c r="Q70" s="163">
        <v>0</v>
      </c>
      <c r="R70" s="163">
        <v>0</v>
      </c>
      <c r="S70" s="163">
        <v>0</v>
      </c>
      <c r="T70" s="163">
        <v>0</v>
      </c>
      <c r="U70" s="163">
        <f t="shared" si="14"/>
        <v>0</v>
      </c>
      <c r="V70" s="163"/>
      <c r="W70" s="163"/>
      <c r="X70" s="564"/>
      <c r="Y70" s="75">
        <f t="shared" si="4"/>
        <v>182</v>
      </c>
    </row>
    <row r="71" spans="1:25" hidden="1" x14ac:dyDescent="0.3">
      <c r="A71" s="724"/>
      <c r="B71" s="503" t="s">
        <v>26</v>
      </c>
      <c r="C71" s="333">
        <v>59</v>
      </c>
      <c r="D71" s="333">
        <v>130</v>
      </c>
      <c r="E71" s="333">
        <v>126</v>
      </c>
      <c r="F71" s="333">
        <v>286</v>
      </c>
      <c r="G71" s="333">
        <f t="shared" si="20"/>
        <v>601</v>
      </c>
      <c r="H71" s="374">
        <f t="shared" si="19"/>
        <v>458</v>
      </c>
      <c r="I71" s="334">
        <f t="shared" si="2"/>
        <v>0.76206322795341097</v>
      </c>
      <c r="J71" s="333">
        <v>52</v>
      </c>
      <c r="K71" s="333">
        <v>63</v>
      </c>
      <c r="L71" s="333">
        <f t="shared" si="21"/>
        <v>590</v>
      </c>
      <c r="M71" s="361" t="s">
        <v>114</v>
      </c>
      <c r="N71" s="498"/>
      <c r="O71" s="532"/>
      <c r="P71" s="163">
        <v>0</v>
      </c>
      <c r="Q71" s="163">
        <v>0</v>
      </c>
      <c r="R71" s="163">
        <v>0</v>
      </c>
      <c r="S71" s="163">
        <v>0</v>
      </c>
      <c r="T71" s="163">
        <v>0</v>
      </c>
      <c r="U71" s="163">
        <f t="shared" si="14"/>
        <v>0</v>
      </c>
      <c r="V71" s="163"/>
      <c r="W71" s="163"/>
      <c r="X71" s="564"/>
      <c r="Y71" s="75">
        <f t="shared" si="4"/>
        <v>653</v>
      </c>
    </row>
    <row r="72" spans="1:25" x14ac:dyDescent="0.3">
      <c r="A72" s="392" t="s">
        <v>14</v>
      </c>
      <c r="B72" s="496" t="s">
        <v>206</v>
      </c>
      <c r="C72" s="374">
        <f>SUM(C60:C71)</f>
        <v>364</v>
      </c>
      <c r="D72" s="374">
        <f>SUM(D60:D71)</f>
        <v>2243</v>
      </c>
      <c r="E72" s="374">
        <f t="shared" ref="E72:F72" si="22">SUM(E60:E71)</f>
        <v>9700</v>
      </c>
      <c r="F72" s="374">
        <f t="shared" si="22"/>
        <v>11628</v>
      </c>
      <c r="G72" s="333">
        <f t="shared" si="20"/>
        <v>23935</v>
      </c>
      <c r="H72" s="374">
        <f>C72+D72+E72+F72*0.5</f>
        <v>18121</v>
      </c>
      <c r="I72" s="334">
        <f t="shared" si="2"/>
        <v>0.75709212450386465</v>
      </c>
      <c r="J72" s="374">
        <f t="shared" ref="J72" si="23">SUM(J60:J71)</f>
        <v>1033</v>
      </c>
      <c r="K72" s="374">
        <f>SUM(K60:K71)</f>
        <v>3041</v>
      </c>
      <c r="L72" s="374">
        <f>SUM(L60:L71)</f>
        <v>21927</v>
      </c>
      <c r="M72" s="377"/>
      <c r="N72" s="498"/>
      <c r="O72" s="18"/>
      <c r="P72" s="175">
        <f>SUM(P60:P71)</f>
        <v>4</v>
      </c>
      <c r="Q72" s="175">
        <f t="shared" ref="Q72:X72" si="24">SUM(Q60:Q71)</f>
        <v>469</v>
      </c>
      <c r="R72" s="175">
        <f t="shared" si="24"/>
        <v>1521</v>
      </c>
      <c r="S72" s="175">
        <f t="shared" si="24"/>
        <v>3345</v>
      </c>
      <c r="T72" s="175">
        <f>SUM(T60:T71)</f>
        <v>24</v>
      </c>
      <c r="U72" s="163">
        <f t="shared" si="14"/>
        <v>5363</v>
      </c>
      <c r="V72" s="175">
        <f>SUM(V60:V71)</f>
        <v>2305</v>
      </c>
      <c r="W72" s="175">
        <f>SUM(W60:W71)</f>
        <v>3058</v>
      </c>
      <c r="X72" s="21">
        <f t="shared" si="24"/>
        <v>0</v>
      </c>
      <c r="Y72" s="75">
        <f t="shared" si="4"/>
        <v>30331</v>
      </c>
    </row>
    <row r="73" spans="1:25" x14ac:dyDescent="0.3">
      <c r="A73" s="501" t="s">
        <v>7</v>
      </c>
      <c r="B73" s="502" t="s">
        <v>207</v>
      </c>
      <c r="C73" s="536">
        <f t="shared" ref="C73:L73" si="25">+C41+C59+C72</f>
        <v>423</v>
      </c>
      <c r="D73" s="536">
        <f t="shared" si="25"/>
        <v>3302</v>
      </c>
      <c r="E73" s="536">
        <f t="shared" si="25"/>
        <v>13988</v>
      </c>
      <c r="F73" s="536">
        <f t="shared" si="25"/>
        <v>32879</v>
      </c>
      <c r="G73" s="536">
        <f t="shared" si="25"/>
        <v>50592</v>
      </c>
      <c r="H73" s="536">
        <f t="shared" si="25"/>
        <v>34152.5</v>
      </c>
      <c r="I73" s="537">
        <f t="shared" si="2"/>
        <v>0.67505732131562302</v>
      </c>
      <c r="J73" s="536">
        <f t="shared" si="25"/>
        <v>14232</v>
      </c>
      <c r="K73" s="536">
        <f t="shared" si="25"/>
        <v>8619</v>
      </c>
      <c r="L73" s="536">
        <f t="shared" si="25"/>
        <v>56208</v>
      </c>
      <c r="M73" s="538"/>
      <c r="N73" s="546"/>
      <c r="O73" s="547"/>
      <c r="P73" s="548">
        <f t="shared" ref="P73:W73" si="26">+P41+P59+P72</f>
        <v>4</v>
      </c>
      <c r="Q73" s="548">
        <f t="shared" si="26"/>
        <v>654</v>
      </c>
      <c r="R73" s="548">
        <f t="shared" si="26"/>
        <v>1938</v>
      </c>
      <c r="S73" s="548">
        <f t="shared" si="26"/>
        <v>4947</v>
      </c>
      <c r="T73" s="548">
        <f t="shared" si="26"/>
        <v>1863</v>
      </c>
      <c r="U73" s="548">
        <f t="shared" si="26"/>
        <v>9406</v>
      </c>
      <c r="V73" s="548">
        <f t="shared" si="26"/>
        <v>2305</v>
      </c>
      <c r="W73" s="548">
        <f t="shared" si="26"/>
        <v>3058</v>
      </c>
      <c r="X73" s="566"/>
      <c r="Y73" s="555">
        <f>+G73+J73+U73</f>
        <v>74230</v>
      </c>
    </row>
    <row r="74" spans="1:25" ht="16.2" x14ac:dyDescent="0.3">
      <c r="A74" s="501"/>
      <c r="B74" s="502" t="s">
        <v>216</v>
      </c>
      <c r="C74" s="536">
        <f>C73*275</f>
        <v>116325</v>
      </c>
      <c r="D74" s="536">
        <f t="shared" ref="D74:G74" si="27">D73*275</f>
        <v>908050</v>
      </c>
      <c r="E74" s="536">
        <f t="shared" si="27"/>
        <v>3846700</v>
      </c>
      <c r="F74" s="536">
        <f t="shared" si="27"/>
        <v>9041725</v>
      </c>
      <c r="G74" s="536">
        <f t="shared" si="27"/>
        <v>13912800</v>
      </c>
      <c r="H74" s="536">
        <f>H73*275</f>
        <v>9391937.5</v>
      </c>
      <c r="I74" s="539"/>
      <c r="J74" s="539"/>
      <c r="K74" s="539"/>
      <c r="L74" s="539"/>
      <c r="M74" s="540"/>
      <c r="N74" s="546"/>
      <c r="O74" s="547"/>
      <c r="P74" s="548"/>
      <c r="Q74" s="548"/>
      <c r="R74" s="548"/>
      <c r="S74" s="548"/>
      <c r="T74" s="548"/>
      <c r="U74" s="548"/>
      <c r="V74" s="548"/>
      <c r="W74" s="548"/>
      <c r="X74" s="566"/>
      <c r="Y74" s="555"/>
    </row>
    <row r="75" spans="1:25" ht="15" thickBot="1" x14ac:dyDescent="0.35">
      <c r="A75" s="549" t="s">
        <v>7</v>
      </c>
      <c r="B75" s="550" t="s">
        <v>220</v>
      </c>
      <c r="C75" s="420">
        <f t="shared" ref="C75:L75" si="28">C28+C73</f>
        <v>2876.7891420000001</v>
      </c>
      <c r="D75" s="420">
        <f t="shared" si="28"/>
        <v>4669.1656970000004</v>
      </c>
      <c r="E75" s="420">
        <f t="shared" si="28"/>
        <v>23543.411986999999</v>
      </c>
      <c r="F75" s="420">
        <f t="shared" si="28"/>
        <v>44489.588660000001</v>
      </c>
      <c r="G75" s="420">
        <f t="shared" si="28"/>
        <v>75578.955485999992</v>
      </c>
      <c r="H75" s="420">
        <f t="shared" si="28"/>
        <v>53334.161156000002</v>
      </c>
      <c r="I75" s="551">
        <f t="shared" ref="I75" si="29">IF(G75&lt;1,0,H75/G75)</f>
        <v>0.70567475844356509</v>
      </c>
      <c r="J75" s="420">
        <f t="shared" si="28"/>
        <v>28282.732049999999</v>
      </c>
      <c r="K75" s="420">
        <f t="shared" si="28"/>
        <v>15095.090694</v>
      </c>
      <c r="L75" s="420">
        <f t="shared" si="28"/>
        <v>88769.596841999999</v>
      </c>
      <c r="M75" s="552"/>
      <c r="N75" s="553"/>
      <c r="O75" s="554"/>
      <c r="P75" s="241">
        <f t="shared" ref="P75:W75" si="30">P28+P73</f>
        <v>588.45888500000001</v>
      </c>
      <c r="Q75" s="241">
        <f t="shared" si="30"/>
        <v>797.29147399999999</v>
      </c>
      <c r="R75" s="241">
        <f t="shared" si="30"/>
        <v>12849.175846</v>
      </c>
      <c r="S75" s="241">
        <f t="shared" si="30"/>
        <v>10704.714630999999</v>
      </c>
      <c r="T75" s="241">
        <f t="shared" si="30"/>
        <v>7460.7981950000003</v>
      </c>
      <c r="U75" s="241">
        <f t="shared" si="30"/>
        <v>32400.439031000002</v>
      </c>
      <c r="V75" s="241">
        <f t="shared" si="30"/>
        <v>12606.63903</v>
      </c>
      <c r="W75" s="241">
        <f t="shared" si="30"/>
        <v>15750.8</v>
      </c>
      <c r="X75" s="567"/>
      <c r="Y75" s="556">
        <f>+G75+J75+U75</f>
        <v>136262.126567</v>
      </c>
    </row>
    <row r="76" spans="1:25" ht="18" hidden="1" thickBot="1" x14ac:dyDescent="0.3">
      <c r="A76" s="481"/>
      <c r="B76" s="482" t="s">
        <v>217</v>
      </c>
      <c r="C76" s="522">
        <f>+C29+C74</f>
        <v>791117.01405</v>
      </c>
      <c r="D76" s="437">
        <f>+D29+D74</f>
        <v>1284020.5666749999</v>
      </c>
      <c r="E76" s="437">
        <f t="shared" ref="E76:H76" si="31">+E29+E74</f>
        <v>6474438.2964249998</v>
      </c>
      <c r="F76" s="437">
        <f t="shared" si="31"/>
        <v>12234636.8815</v>
      </c>
      <c r="G76" s="437">
        <f>+G29+G74</f>
        <v>20784212.758649997</v>
      </c>
      <c r="H76" s="437">
        <f t="shared" si="31"/>
        <v>14666894.3179</v>
      </c>
      <c r="I76" s="517"/>
      <c r="J76" s="517"/>
      <c r="K76" s="517"/>
      <c r="L76" s="517"/>
      <c r="M76" s="518"/>
      <c r="N76" s="157"/>
      <c r="O76" s="233"/>
      <c r="P76" s="232"/>
      <c r="Q76" s="232"/>
      <c r="R76" s="232"/>
      <c r="S76" s="232"/>
      <c r="T76" s="232"/>
      <c r="U76" s="232"/>
      <c r="V76" s="232"/>
      <c r="W76" s="232"/>
      <c r="X76" s="233"/>
      <c r="Y76" s="146"/>
    </row>
    <row r="78" spans="1:25" s="153" customFormat="1" x14ac:dyDescent="0.3"/>
    <row r="91" spans="25:25" x14ac:dyDescent="0.3">
      <c r="Y91" s="178"/>
    </row>
  </sheetData>
  <mergeCells count="14">
    <mergeCell ref="Y5:Y7"/>
    <mergeCell ref="A60:A71"/>
    <mergeCell ref="A4:M4"/>
    <mergeCell ref="O4:X4"/>
    <mergeCell ref="A5:A7"/>
    <mergeCell ref="B5:B7"/>
    <mergeCell ref="C5:F5"/>
    <mergeCell ref="O5:O7"/>
    <mergeCell ref="P5:T5"/>
    <mergeCell ref="A9:A12"/>
    <mergeCell ref="A14:A22"/>
    <mergeCell ref="A24:A26"/>
    <mergeCell ref="A30:A40"/>
    <mergeCell ref="A42:A58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zoomScaleNormal="100" workbookViewId="0">
      <selection activeCell="D23" sqref="D23"/>
    </sheetView>
  </sheetViews>
  <sheetFormatPr defaultRowHeight="14.4" x14ac:dyDescent="0.3"/>
  <cols>
    <col min="1" max="1" width="2.33203125" customWidth="1"/>
    <col min="2" max="2" width="84.88671875" customWidth="1"/>
  </cols>
  <sheetData>
    <row r="1" spans="1:2" x14ac:dyDescent="0.3">
      <c r="B1" s="6" t="str">
        <f>'IBS Action Plan 20170131'!A1</f>
        <v>Spruce Beetle Action Plan - Omineca Region</v>
      </c>
    </row>
    <row r="2" spans="1:2" x14ac:dyDescent="0.3">
      <c r="B2" s="296">
        <f>'IBS Action Plan 20170131'!A2</f>
        <v>42766</v>
      </c>
    </row>
    <row r="3" spans="1:2" s="153" customFormat="1" x14ac:dyDescent="0.3"/>
    <row r="4" spans="1:2" x14ac:dyDescent="0.3">
      <c r="B4" s="6" t="s">
        <v>29</v>
      </c>
    </row>
    <row r="5" spans="1:2" ht="30.75" customHeight="1" x14ac:dyDescent="0.25">
      <c r="A5" s="327" t="s">
        <v>30</v>
      </c>
      <c r="B5" s="297" t="s">
        <v>158</v>
      </c>
    </row>
    <row r="6" spans="1:2" ht="30" x14ac:dyDescent="0.25">
      <c r="A6" s="327" t="s">
        <v>30</v>
      </c>
      <c r="B6" s="298" t="s">
        <v>31</v>
      </c>
    </row>
    <row r="7" spans="1:2" ht="30" x14ac:dyDescent="0.25">
      <c r="A7" s="327" t="s">
        <v>30</v>
      </c>
      <c r="B7" s="298" t="s">
        <v>52</v>
      </c>
    </row>
    <row r="8" spans="1:2" ht="30" x14ac:dyDescent="0.25">
      <c r="A8" s="327" t="s">
        <v>30</v>
      </c>
      <c r="B8" s="298" t="s">
        <v>51</v>
      </c>
    </row>
    <row r="9" spans="1:2" ht="30" x14ac:dyDescent="0.25">
      <c r="A9" s="327" t="s">
        <v>30</v>
      </c>
      <c r="B9" s="298" t="s">
        <v>32</v>
      </c>
    </row>
    <row r="10" spans="1:2" ht="30" x14ac:dyDescent="0.25">
      <c r="A10" s="327" t="s">
        <v>30</v>
      </c>
      <c r="B10" s="298" t="s">
        <v>33</v>
      </c>
    </row>
    <row r="11" spans="1:2" ht="28.8" x14ac:dyDescent="0.3">
      <c r="A11" s="327" t="s">
        <v>30</v>
      </c>
      <c r="B11" s="298" t="s">
        <v>34</v>
      </c>
    </row>
    <row r="12" spans="1:2" ht="28.8" x14ac:dyDescent="0.3">
      <c r="A12" s="327" t="s">
        <v>30</v>
      </c>
      <c r="B12" s="298" t="s">
        <v>35</v>
      </c>
    </row>
    <row r="13" spans="1:2" x14ac:dyDescent="0.3">
      <c r="A13" s="153"/>
      <c r="B13" s="153"/>
    </row>
    <row r="14" spans="1:2" x14ac:dyDescent="0.3">
      <c r="A14" s="153"/>
      <c r="B14" s="153"/>
    </row>
    <row r="15" spans="1:2" x14ac:dyDescent="0.3">
      <c r="A15" s="153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7"/>
  <sheetViews>
    <sheetView topLeftCell="R19" workbookViewId="0">
      <selection activeCell="B79" sqref="B79"/>
    </sheetView>
  </sheetViews>
  <sheetFormatPr defaultRowHeight="14.4" x14ac:dyDescent="0.3"/>
  <cols>
    <col min="1" max="1" width="11" customWidth="1"/>
    <col min="2" max="2" width="29.6640625" customWidth="1"/>
    <col min="3" max="3" width="10.44140625" bestFit="1" customWidth="1"/>
    <col min="4" max="5" width="10.6640625" bestFit="1" customWidth="1"/>
    <col min="6" max="6" width="11.33203125" customWidth="1"/>
    <col min="7" max="8" width="11.6640625" bestFit="1" customWidth="1"/>
    <col min="9" max="9" width="14" style="153" customWidth="1"/>
    <col min="10" max="10" width="14.44140625" bestFit="1" customWidth="1"/>
    <col min="11" max="11" width="10.109375" bestFit="1" customWidth="1"/>
    <col min="12" max="12" width="12.5546875" bestFit="1" customWidth="1"/>
    <col min="13" max="13" width="12.6640625" bestFit="1" customWidth="1"/>
    <col min="15" max="15" width="12.5546875" customWidth="1"/>
    <col min="24" max="24" width="58.109375" customWidth="1"/>
    <col min="25" max="25" width="14.33203125" customWidth="1"/>
  </cols>
  <sheetData>
    <row r="1" spans="1:26" x14ac:dyDescent="0.3">
      <c r="A1" s="6" t="s">
        <v>189</v>
      </c>
      <c r="B1" s="153"/>
      <c r="C1" s="153"/>
      <c r="D1" s="153"/>
      <c r="E1" s="153"/>
      <c r="F1" s="153"/>
      <c r="G1" s="153"/>
      <c r="H1" s="153"/>
      <c r="J1" s="153"/>
      <c r="K1" s="153"/>
      <c r="L1" s="153"/>
      <c r="M1" s="50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</row>
    <row r="2" spans="1:26" x14ac:dyDescent="0.3">
      <c r="A2" s="296">
        <f>'IBS Action Plan 20170131'!A2</f>
        <v>42766</v>
      </c>
      <c r="B2" s="153"/>
      <c r="C2" s="153"/>
      <c r="D2" s="153"/>
      <c r="E2" s="153"/>
      <c r="F2" s="153"/>
      <c r="G2" s="153"/>
      <c r="H2" s="153"/>
      <c r="J2" s="153"/>
      <c r="K2" s="153"/>
      <c r="L2" s="153"/>
      <c r="M2" s="50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</row>
    <row r="3" spans="1:26" ht="15" thickBot="1" x14ac:dyDescent="0.35">
      <c r="A3" s="153"/>
      <c r="B3" s="153"/>
      <c r="C3" s="153"/>
      <c r="D3" s="153"/>
      <c r="E3" s="153"/>
      <c r="F3" s="153"/>
      <c r="G3" s="153"/>
      <c r="H3" s="153"/>
      <c r="J3" s="153"/>
      <c r="K3" s="153"/>
      <c r="L3" s="153"/>
      <c r="M3" s="50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</row>
    <row r="4" spans="1:26" x14ac:dyDescent="0.3">
      <c r="A4" s="672" t="s">
        <v>182</v>
      </c>
      <c r="B4" s="673"/>
      <c r="C4" s="673"/>
      <c r="D4" s="673"/>
      <c r="E4" s="673"/>
      <c r="F4" s="673"/>
      <c r="G4" s="673"/>
      <c r="H4" s="673"/>
      <c r="I4" s="673"/>
      <c r="J4" s="673"/>
      <c r="K4" s="673"/>
      <c r="L4" s="673"/>
      <c r="M4" s="673"/>
      <c r="N4" s="130"/>
      <c r="O4" s="674" t="s">
        <v>41</v>
      </c>
      <c r="P4" s="675"/>
      <c r="Q4" s="675"/>
      <c r="R4" s="675"/>
      <c r="S4" s="675"/>
      <c r="T4" s="675"/>
      <c r="U4" s="675"/>
      <c r="V4" s="675"/>
      <c r="W4" s="675"/>
      <c r="X4" s="675"/>
      <c r="Y4" s="11" t="s">
        <v>7</v>
      </c>
      <c r="Z4" s="153"/>
    </row>
    <row r="5" spans="1:26" x14ac:dyDescent="0.3">
      <c r="A5" s="684" t="s">
        <v>36</v>
      </c>
      <c r="B5" s="682" t="s">
        <v>37</v>
      </c>
      <c r="C5" s="679" t="s">
        <v>0</v>
      </c>
      <c r="D5" s="680"/>
      <c r="E5" s="680"/>
      <c r="F5" s="681"/>
      <c r="G5" s="155" t="s">
        <v>7</v>
      </c>
      <c r="H5" s="211" t="s">
        <v>177</v>
      </c>
      <c r="I5" s="670" t="str">
        <f>'PG TSA'!I5</f>
        <v>Estimated Area to Harvest ÷ Total Area AOS (%)</v>
      </c>
      <c r="J5" s="210"/>
      <c r="K5" s="155" t="s">
        <v>12</v>
      </c>
      <c r="L5" s="155" t="s">
        <v>13</v>
      </c>
      <c r="M5" s="155" t="s">
        <v>18</v>
      </c>
      <c r="N5" s="130"/>
      <c r="O5" s="682" t="s">
        <v>65</v>
      </c>
      <c r="P5" s="679" t="s">
        <v>0</v>
      </c>
      <c r="Q5" s="680"/>
      <c r="R5" s="680"/>
      <c r="S5" s="680"/>
      <c r="T5" s="680"/>
      <c r="U5" s="7"/>
      <c r="V5" s="68" t="s">
        <v>12</v>
      </c>
      <c r="W5" s="33" t="s">
        <v>13</v>
      </c>
      <c r="X5" s="46" t="s">
        <v>43</v>
      </c>
      <c r="Y5" s="46" t="s">
        <v>155</v>
      </c>
      <c r="Z5" s="153"/>
    </row>
    <row r="6" spans="1:26" x14ac:dyDescent="0.3">
      <c r="A6" s="685"/>
      <c r="B6" s="683"/>
      <c r="C6" s="36" t="s">
        <v>5</v>
      </c>
      <c r="D6" s="154" t="s">
        <v>3</v>
      </c>
      <c r="E6" s="154" t="s">
        <v>2</v>
      </c>
      <c r="F6" s="149" t="s">
        <v>1</v>
      </c>
      <c r="G6" s="154" t="s">
        <v>11</v>
      </c>
      <c r="H6" s="212" t="s">
        <v>175</v>
      </c>
      <c r="I6" s="671"/>
      <c r="J6" s="212" t="s">
        <v>164</v>
      </c>
      <c r="K6" s="154" t="s">
        <v>11</v>
      </c>
      <c r="L6" s="154" t="s">
        <v>11</v>
      </c>
      <c r="M6" s="194" t="s">
        <v>39</v>
      </c>
      <c r="N6" s="130"/>
      <c r="O6" s="683"/>
      <c r="P6" s="36" t="s">
        <v>5</v>
      </c>
      <c r="Q6" s="154" t="s">
        <v>3</v>
      </c>
      <c r="R6" s="154" t="s">
        <v>2</v>
      </c>
      <c r="S6" s="154" t="s">
        <v>1</v>
      </c>
      <c r="T6" s="154" t="s">
        <v>4</v>
      </c>
      <c r="U6" s="156" t="s">
        <v>7</v>
      </c>
      <c r="V6" s="36" t="s">
        <v>8</v>
      </c>
      <c r="W6" s="156" t="s">
        <v>8</v>
      </c>
      <c r="X6" s="47" t="s">
        <v>42</v>
      </c>
      <c r="Y6" s="47" t="s">
        <v>40</v>
      </c>
      <c r="Z6" s="153"/>
    </row>
    <row r="7" spans="1:26" x14ac:dyDescent="0.3">
      <c r="A7" s="685"/>
      <c r="B7" s="683"/>
      <c r="C7" s="36" t="s">
        <v>11</v>
      </c>
      <c r="D7" s="154" t="s">
        <v>11</v>
      </c>
      <c r="E7" s="154" t="s">
        <v>11</v>
      </c>
      <c r="F7" s="149" t="s">
        <v>11</v>
      </c>
      <c r="G7" s="154" t="s">
        <v>178</v>
      </c>
      <c r="H7" s="212" t="s">
        <v>178</v>
      </c>
      <c r="I7" s="671"/>
      <c r="J7" s="154" t="s">
        <v>179</v>
      </c>
      <c r="K7" s="154" t="s">
        <v>176</v>
      </c>
      <c r="L7" s="154" t="s">
        <v>176</v>
      </c>
      <c r="M7" s="194" t="s">
        <v>10</v>
      </c>
      <c r="N7" s="130"/>
      <c r="O7" s="683"/>
      <c r="P7" s="36" t="s">
        <v>11</v>
      </c>
      <c r="Q7" s="154" t="s">
        <v>11</v>
      </c>
      <c r="R7" s="154" t="s">
        <v>11</v>
      </c>
      <c r="S7" s="154" t="s">
        <v>11</v>
      </c>
      <c r="T7" s="154" t="s">
        <v>11</v>
      </c>
      <c r="U7" s="156" t="s">
        <v>11</v>
      </c>
      <c r="V7" s="36" t="s">
        <v>11</v>
      </c>
      <c r="W7" s="156" t="s">
        <v>11</v>
      </c>
      <c r="X7" s="47"/>
      <c r="Y7" s="47" t="s">
        <v>41</v>
      </c>
      <c r="Z7" s="2"/>
    </row>
    <row r="8" spans="1:26" ht="15" thickBot="1" x14ac:dyDescent="0.35">
      <c r="A8" s="185"/>
      <c r="B8" s="184"/>
      <c r="C8" s="36" t="s">
        <v>183</v>
      </c>
      <c r="D8" s="154" t="s">
        <v>184</v>
      </c>
      <c r="E8" s="154" t="s">
        <v>185</v>
      </c>
      <c r="F8" s="149" t="s">
        <v>186</v>
      </c>
      <c r="G8" s="154"/>
      <c r="H8" s="212"/>
      <c r="I8" s="432"/>
      <c r="J8" s="154" t="s">
        <v>187</v>
      </c>
      <c r="K8" s="154"/>
      <c r="L8" s="154"/>
      <c r="M8" s="194"/>
      <c r="N8" s="130"/>
      <c r="O8" s="184"/>
      <c r="P8" s="36"/>
      <c r="Q8" s="154"/>
      <c r="R8" s="154"/>
      <c r="S8" s="154"/>
      <c r="T8" s="154"/>
      <c r="U8" s="156"/>
      <c r="V8" s="36"/>
      <c r="W8" s="156"/>
      <c r="X8" s="47"/>
      <c r="Y8" s="47"/>
      <c r="Z8" s="2"/>
    </row>
    <row r="9" spans="1:26" x14ac:dyDescent="0.3">
      <c r="A9" s="689" t="s">
        <v>99</v>
      </c>
      <c r="B9" s="259" t="str">
        <f>'IBS Action Plan 20170131'!B9</f>
        <v>Klawli / Gillis</v>
      </c>
      <c r="C9" s="79">
        <f>'IBS Action Plan 20170131'!C9</f>
        <v>0</v>
      </c>
      <c r="D9" s="76">
        <f>'IBS Action Plan 20170131'!D9</f>
        <v>0</v>
      </c>
      <c r="E9" s="76">
        <f>'IBS Action Plan 20170131'!E9</f>
        <v>588</v>
      </c>
      <c r="F9" s="76">
        <f>'IBS Action Plan 20170131'!F9</f>
        <v>1346</v>
      </c>
      <c r="G9" s="76">
        <f>'IBS Action Plan 20170131'!G9</f>
        <v>1934</v>
      </c>
      <c r="H9" s="76">
        <f>'IBS Action Plan 20170131'!H9</f>
        <v>1261</v>
      </c>
      <c r="I9" s="421">
        <f>'IBS Action Plan 20170131'!I9</f>
        <v>0.65201654601861425</v>
      </c>
      <c r="J9" s="76">
        <f>'IBS Action Plan 20170131'!J9</f>
        <v>5704</v>
      </c>
      <c r="K9" s="76">
        <f>'IBS Action Plan 20170131'!K9</f>
        <v>0</v>
      </c>
      <c r="L9" s="76">
        <f>'IBS Action Plan 20170131'!L9</f>
        <v>7638</v>
      </c>
      <c r="M9" s="100" t="str">
        <f>'IBS Action Plan 20170131'!N9</f>
        <v xml:space="preserve"> 2020 - 22  </v>
      </c>
      <c r="N9" s="130"/>
      <c r="O9" s="254" t="str">
        <f>'IBS Action Plan 20170131'!P9</f>
        <v>Economic</v>
      </c>
      <c r="P9" s="254">
        <f>'IBS Action Plan 20170131'!Q9</f>
        <v>0</v>
      </c>
      <c r="Q9" s="254">
        <f>'IBS Action Plan 20170131'!R9</f>
        <v>0</v>
      </c>
      <c r="R9" s="254">
        <f>'IBS Action Plan 20170131'!S9</f>
        <v>0</v>
      </c>
      <c r="S9" s="254">
        <f>'IBS Action Plan 20170131'!T9</f>
        <v>0</v>
      </c>
      <c r="T9" s="254">
        <f>'IBS Action Plan 20170131'!U9</f>
        <v>425</v>
      </c>
      <c r="U9" s="254">
        <f>'IBS Action Plan 20170131'!V9</f>
        <v>425</v>
      </c>
      <c r="V9" s="254">
        <f>'IBS Action Plan 20170131'!W9</f>
        <v>170</v>
      </c>
      <c r="W9" s="254">
        <f>'IBS Action Plan 20170131'!X9</f>
        <v>255</v>
      </c>
      <c r="X9" s="254" t="str">
        <f>'IBS Action Plan 20170131'!Y9</f>
        <v>Other</v>
      </c>
      <c r="Y9" s="255">
        <f>'IBS Action Plan 20170131'!Z9</f>
        <v>8063</v>
      </c>
      <c r="Z9" s="153"/>
    </row>
    <row r="10" spans="1:26" x14ac:dyDescent="0.3">
      <c r="A10" s="690"/>
      <c r="B10" s="104" t="str">
        <f>'IBS Action Plan 20170131'!B10</f>
        <v>Parsnip / Clearwater / Pardonet</v>
      </c>
      <c r="C10" s="84">
        <f>'IBS Action Plan 20170131'!C10</f>
        <v>0</v>
      </c>
      <c r="D10" s="176">
        <f>'IBS Action Plan 20170131'!D10</f>
        <v>0</v>
      </c>
      <c r="E10" s="176">
        <f>'IBS Action Plan 20170131'!E10</f>
        <v>748</v>
      </c>
      <c r="F10" s="176">
        <f>'IBS Action Plan 20170131'!F10</f>
        <v>1530</v>
      </c>
      <c r="G10" s="176">
        <f>'IBS Action Plan 20170131'!G10</f>
        <v>2278</v>
      </c>
      <c r="H10" s="176">
        <f>'IBS Action Plan 20170131'!H10</f>
        <v>1513</v>
      </c>
      <c r="I10" s="422">
        <f>'IBS Action Plan 20170131'!I10</f>
        <v>0.66417910447761197</v>
      </c>
      <c r="J10" s="176">
        <f>'IBS Action Plan 20170131'!J10</f>
        <v>236</v>
      </c>
      <c r="K10" s="176">
        <f>'IBS Action Plan 20170131'!K10</f>
        <v>1005</v>
      </c>
      <c r="L10" s="176">
        <f>'IBS Action Plan 20170131'!L10</f>
        <v>1509</v>
      </c>
      <c r="M10" s="168" t="str">
        <f>'IBS Action Plan 20170131'!N10</f>
        <v xml:space="preserve"> 2017 - 2020 </v>
      </c>
      <c r="N10" s="130"/>
      <c r="O10" s="256" t="str">
        <f>'IBS Action Plan 20170131'!P10</f>
        <v>Economic</v>
      </c>
      <c r="P10" s="256">
        <f>'IBS Action Plan 20170131'!Q10</f>
        <v>0</v>
      </c>
      <c r="Q10" s="256">
        <f>'IBS Action Plan 20170131'!R10</f>
        <v>0</v>
      </c>
      <c r="R10" s="256">
        <f>'IBS Action Plan 20170131'!S10</f>
        <v>437</v>
      </c>
      <c r="S10" s="256">
        <f>'IBS Action Plan 20170131'!T10</f>
        <v>3554</v>
      </c>
      <c r="T10" s="256">
        <f>'IBS Action Plan 20170131'!U10</f>
        <v>4713</v>
      </c>
      <c r="U10" s="256">
        <f>'IBS Action Plan 20170131'!V10</f>
        <v>8704</v>
      </c>
      <c r="V10" s="256">
        <f>'IBS Action Plan 20170131'!W10</f>
        <v>3481.6000000000004</v>
      </c>
      <c r="W10" s="256">
        <f>'IBS Action Plan 20170131'!X10</f>
        <v>5222.3999999999996</v>
      </c>
      <c r="X10" s="256" t="str">
        <f>'IBS Action Plan 20170131'!Y10</f>
        <v xml:space="preserve">Roads, other </v>
      </c>
      <c r="Y10" s="257">
        <f>'IBS Action Plan 20170131'!Z10</f>
        <v>11218</v>
      </c>
      <c r="Z10" s="153"/>
    </row>
    <row r="11" spans="1:26" x14ac:dyDescent="0.3">
      <c r="A11" s="690"/>
      <c r="B11" s="104" t="str">
        <f>'IBS Action Plan 20170131'!B11</f>
        <v>Phillip / Blackwater / Hwy97</v>
      </c>
      <c r="C11" s="84">
        <f>'IBS Action Plan 20170131'!C11</f>
        <v>0</v>
      </c>
      <c r="D11" s="176">
        <f>'IBS Action Plan 20170131'!D11</f>
        <v>711</v>
      </c>
      <c r="E11" s="176">
        <f>'IBS Action Plan 20170131'!E11</f>
        <v>5061</v>
      </c>
      <c r="F11" s="176">
        <f>'IBS Action Plan 20170131'!F11</f>
        <v>3285</v>
      </c>
      <c r="G11" s="176">
        <f>'IBS Action Plan 20170131'!G11</f>
        <v>9057</v>
      </c>
      <c r="H11" s="176">
        <f>'IBS Action Plan 20170131'!H11</f>
        <v>7414.5</v>
      </c>
      <c r="I11" s="422">
        <f>'IBS Action Plan 20170131'!I11</f>
        <v>0.81864855912553824</v>
      </c>
      <c r="J11" s="176">
        <f>'IBS Action Plan 20170131'!J11</f>
        <v>433</v>
      </c>
      <c r="K11" s="176">
        <f>'IBS Action Plan 20170131'!K11</f>
        <v>3796</v>
      </c>
      <c r="L11" s="176">
        <f>'IBS Action Plan 20170131'!L11</f>
        <v>5694</v>
      </c>
      <c r="M11" s="168" t="str">
        <f>'IBS Action Plan 20170131'!N11</f>
        <v xml:space="preserve"> 2017 - 2021 </v>
      </c>
      <c r="N11" s="130"/>
      <c r="O11" s="256" t="str">
        <f>'IBS Action Plan 20170131'!P11</f>
        <v>Economic</v>
      </c>
      <c r="P11" s="256">
        <f>'IBS Action Plan 20170131'!Q11</f>
        <v>0</v>
      </c>
      <c r="Q11" s="256">
        <f>'IBS Action Plan 20170131'!R11</f>
        <v>0</v>
      </c>
      <c r="R11" s="256">
        <f>'IBS Action Plan 20170131'!S11</f>
        <v>9563</v>
      </c>
      <c r="S11" s="256">
        <f>'IBS Action Plan 20170131'!T11</f>
        <v>2026</v>
      </c>
      <c r="T11" s="256">
        <f>'IBS Action Plan 20170131'!U11</f>
        <v>55</v>
      </c>
      <c r="U11" s="256">
        <f>'IBS Action Plan 20170131'!V11</f>
        <v>11644</v>
      </c>
      <c r="V11" s="256">
        <f>'IBS Action Plan 20170131'!W11</f>
        <v>4657.6000000000004</v>
      </c>
      <c r="W11" s="256">
        <f>'IBS Action Plan 20170131'!X11</f>
        <v>6986.4</v>
      </c>
      <c r="X11" s="256" t="str">
        <f>'IBS Action Plan 20170131'!Y11</f>
        <v>Roads, other</v>
      </c>
      <c r="Y11" s="257">
        <f>'IBS Action Plan 20170131'!Z11</f>
        <v>21134</v>
      </c>
      <c r="Z11" s="153"/>
    </row>
    <row r="12" spans="1:26" ht="15" thickBot="1" x14ac:dyDescent="0.35">
      <c r="A12" s="690"/>
      <c r="B12" s="260" t="str">
        <f>'IBS Action Plan 20170131'!B12</f>
        <v>Agreements</v>
      </c>
      <c r="C12" s="96">
        <f>'IBS Action Plan 20170131'!C12</f>
        <v>0</v>
      </c>
      <c r="D12" s="171">
        <f>'IBS Action Plan 20170131'!D12</f>
        <v>0</v>
      </c>
      <c r="E12" s="171">
        <f>'IBS Action Plan 20170131'!E12</f>
        <v>0</v>
      </c>
      <c r="F12" s="171">
        <f>'IBS Action Plan 20170131'!F12</f>
        <v>2727</v>
      </c>
      <c r="G12" s="171">
        <f>'IBS Action Plan 20170131'!G12</f>
        <v>2727</v>
      </c>
      <c r="H12" s="171">
        <f>'IBS Action Plan 20170131'!H12</f>
        <v>1363.5</v>
      </c>
      <c r="I12" s="423">
        <f>'IBS Action Plan 20170131'!I12</f>
        <v>0.5</v>
      </c>
      <c r="J12" s="171">
        <f>'IBS Action Plan 20170131'!J12</f>
        <v>2205</v>
      </c>
      <c r="K12" s="171">
        <f>'IBS Action Plan 20170131'!K12</f>
        <v>0</v>
      </c>
      <c r="L12" s="171">
        <f>'IBS Action Plan 20170131'!L12</f>
        <v>4932</v>
      </c>
      <c r="M12" s="90" t="str">
        <f>'IBS Action Plan 20170131'!N12</f>
        <v xml:space="preserve"> 2017 - 2022 </v>
      </c>
      <c r="N12" s="130"/>
      <c r="O12" s="261" t="str">
        <f>'IBS Action Plan 20170131'!P12</f>
        <v>-</v>
      </c>
      <c r="P12" s="261">
        <f>'IBS Action Plan 20170131'!Q12</f>
        <v>0</v>
      </c>
      <c r="Q12" s="261">
        <f>'IBS Action Plan 20170131'!R12</f>
        <v>0</v>
      </c>
      <c r="R12" s="261">
        <f>'IBS Action Plan 20170131'!S12</f>
        <v>0</v>
      </c>
      <c r="S12" s="261">
        <f>'IBS Action Plan 20170131'!T12</f>
        <v>0</v>
      </c>
      <c r="T12" s="261">
        <f>'IBS Action Plan 20170131'!U12</f>
        <v>0</v>
      </c>
      <c r="U12" s="261">
        <f>'IBS Action Plan 20170131'!V12</f>
        <v>0</v>
      </c>
      <c r="V12" s="261">
        <f>'IBS Action Plan 20170131'!W12</f>
        <v>0</v>
      </c>
      <c r="W12" s="261">
        <f>'IBS Action Plan 20170131'!X12</f>
        <v>0</v>
      </c>
      <c r="X12" s="261">
        <f>'IBS Action Plan 20170131'!Y12</f>
        <v>0</v>
      </c>
      <c r="Y12" s="262">
        <f>'IBS Action Plan 20170131'!Z12</f>
        <v>4932</v>
      </c>
      <c r="Z12" s="153"/>
    </row>
    <row r="13" spans="1:26" ht="15" thickBot="1" x14ac:dyDescent="0.35">
      <c r="A13" s="263" t="s">
        <v>14</v>
      </c>
      <c r="B13" s="294" t="str">
        <f>'IBS Action Plan 20170131'!B13</f>
        <v>BCTS MK TSA</v>
      </c>
      <c r="C13" s="264">
        <f>'IBS Action Plan 20170131'!C13</f>
        <v>0</v>
      </c>
      <c r="D13" s="265">
        <f>'IBS Action Plan 20170131'!D13</f>
        <v>711</v>
      </c>
      <c r="E13" s="265">
        <f>'IBS Action Plan 20170131'!E13</f>
        <v>6397</v>
      </c>
      <c r="F13" s="265">
        <f>'IBS Action Plan 20170131'!F13</f>
        <v>8888</v>
      </c>
      <c r="G13" s="265">
        <f>'IBS Action Plan 20170131'!G13</f>
        <v>15996</v>
      </c>
      <c r="H13" s="265">
        <f>'IBS Action Plan 20170131'!H13</f>
        <v>11552</v>
      </c>
      <c r="I13" s="424">
        <f>'IBS Action Plan 20170131'!I13</f>
        <v>0.72218054513628405</v>
      </c>
      <c r="J13" s="265">
        <f>'IBS Action Plan 20170131'!J13</f>
        <v>8578</v>
      </c>
      <c r="K13" s="265">
        <f>'IBS Action Plan 20170131'!K13</f>
        <v>4801</v>
      </c>
      <c r="L13" s="265">
        <f>'IBS Action Plan 20170131'!L13</f>
        <v>19773</v>
      </c>
      <c r="M13" s="266" t="str">
        <f>'IBS Action Plan 20170131'!N13</f>
        <v xml:space="preserve">                   -  </v>
      </c>
      <c r="N13" s="130"/>
      <c r="O13" s="267" t="str">
        <f>'IBS Action Plan 20170131'!P13</f>
        <v xml:space="preserve">             -  </v>
      </c>
      <c r="P13" s="267">
        <f>'IBS Action Plan 20170131'!Q13</f>
        <v>0</v>
      </c>
      <c r="Q13" s="267">
        <f>'IBS Action Plan 20170131'!R13</f>
        <v>0</v>
      </c>
      <c r="R13" s="267">
        <f>'IBS Action Plan 20170131'!S13</f>
        <v>10000</v>
      </c>
      <c r="S13" s="267">
        <f>'IBS Action Plan 20170131'!T13</f>
        <v>5580</v>
      </c>
      <c r="T13" s="267">
        <f>'IBS Action Plan 20170131'!U13</f>
        <v>5193</v>
      </c>
      <c r="U13" s="267">
        <f>'IBS Action Plan 20170131'!V13</f>
        <v>20773</v>
      </c>
      <c r="V13" s="267">
        <f>'IBS Action Plan 20170131'!W13</f>
        <v>8309.2000000000007</v>
      </c>
      <c r="W13" s="267">
        <f>'IBS Action Plan 20170131'!X13</f>
        <v>12463.8</v>
      </c>
      <c r="X13" s="267">
        <f>'IBS Action Plan 20170131'!Y13</f>
        <v>0</v>
      </c>
      <c r="Y13" s="268">
        <f>'IBS Action Plan 20170131'!Z13</f>
        <v>45347</v>
      </c>
      <c r="Z13" s="35"/>
    </row>
    <row r="14" spans="1:26" ht="43.2" x14ac:dyDescent="0.3">
      <c r="A14" s="747" t="s">
        <v>156</v>
      </c>
      <c r="B14" s="259" t="str">
        <f>'IBS Action Plan 20170131'!B14</f>
        <v>DMK - Burden</v>
      </c>
      <c r="C14" s="84">
        <f>'IBS Action Plan 20170131'!C14</f>
        <v>782</v>
      </c>
      <c r="D14" s="176">
        <f>'IBS Action Plan 20170131'!D14</f>
        <v>404</v>
      </c>
      <c r="E14" s="176">
        <f>'IBS Action Plan 20170131'!E14</f>
        <v>546</v>
      </c>
      <c r="F14" s="176">
        <f>'IBS Action Plan 20170131'!F14</f>
        <v>991</v>
      </c>
      <c r="G14" s="176">
        <f>'IBS Action Plan 20170131'!G14</f>
        <v>2723</v>
      </c>
      <c r="H14" s="176">
        <f>'IBS Action Plan 20170131'!H14</f>
        <v>2227.5</v>
      </c>
      <c r="I14" s="422">
        <f>'IBS Action Plan 20170131'!I14</f>
        <v>0.81803158281307387</v>
      </c>
      <c r="J14" s="176">
        <f>'IBS Action Plan 20170131'!J14</f>
        <v>297</v>
      </c>
      <c r="K14" s="176">
        <f>'IBS Action Plan 20170131'!K14</f>
        <v>205</v>
      </c>
      <c r="L14" s="176">
        <f>'IBS Action Plan 20170131'!L14</f>
        <v>2814</v>
      </c>
      <c r="M14" s="168" t="str">
        <f>'IBS Action Plan 20170131'!N14</f>
        <v xml:space="preserve"> 2017-2019 </v>
      </c>
      <c r="N14" s="157"/>
      <c r="O14" s="256" t="str">
        <f>'IBS Action Plan 20170131'!P14</f>
        <v xml:space="preserve"> Legal </v>
      </c>
      <c r="P14" s="256">
        <f>'IBS Action Plan 20170131'!Q14</f>
        <v>0</v>
      </c>
      <c r="Q14" s="256">
        <f>'IBS Action Plan 20170131'!R14</f>
        <v>0</v>
      </c>
      <c r="R14" s="256">
        <f>'IBS Action Plan 20170131'!S14</f>
        <v>11</v>
      </c>
      <c r="S14" s="256">
        <f>'IBS Action Plan 20170131'!T14</f>
        <v>20</v>
      </c>
      <c r="T14" s="256">
        <f>'IBS Action Plan 20170131'!U14</f>
        <v>10</v>
      </c>
      <c r="U14" s="256">
        <f>'IBS Action Plan 20170131'!V14</f>
        <v>41</v>
      </c>
      <c r="V14" s="256">
        <f>'IBS Action Plan 20170131'!W14</f>
        <v>3</v>
      </c>
      <c r="W14" s="256">
        <f>'IBS Action Plan 20170131'!X14</f>
        <v>38</v>
      </c>
      <c r="X14" s="258" t="str">
        <f>'IBS Action Plan 20170131'!Y14</f>
        <v xml:space="preserve"> Fieldwork indicates that the Burden beetle areas are inflated, possibly due to inclusion of 2015 polygons that weren't picked up in 2016 AOS  </v>
      </c>
      <c r="Y14" s="257">
        <f>'IBS Action Plan 20170131'!Z14</f>
        <v>3061</v>
      </c>
      <c r="Z14" s="153"/>
    </row>
    <row r="15" spans="1:26" x14ac:dyDescent="0.3">
      <c r="A15" s="748"/>
      <c r="B15" s="104" t="str">
        <f>'IBS Action Plan 20170131'!B15</f>
        <v>DMK - Chunamon</v>
      </c>
      <c r="C15" s="84">
        <f>'IBS Action Plan 20170131'!C15</f>
        <v>0</v>
      </c>
      <c r="D15" s="176">
        <f>'IBS Action Plan 20170131'!D15</f>
        <v>0</v>
      </c>
      <c r="E15" s="176">
        <f>'IBS Action Plan 20170131'!E15</f>
        <v>0</v>
      </c>
      <c r="F15" s="176">
        <f>'IBS Action Plan 20170131'!F15</f>
        <v>8</v>
      </c>
      <c r="G15" s="176">
        <f>'IBS Action Plan 20170131'!G15</f>
        <v>8</v>
      </c>
      <c r="H15" s="176">
        <f>'IBS Action Plan 20170131'!H15</f>
        <v>4</v>
      </c>
      <c r="I15" s="422">
        <f>'IBS Action Plan 20170131'!I15</f>
        <v>0.5</v>
      </c>
      <c r="J15" s="176">
        <f>'IBS Action Plan 20170131'!J15</f>
        <v>382</v>
      </c>
      <c r="K15" s="176">
        <f>'IBS Action Plan 20170131'!K15</f>
        <v>17</v>
      </c>
      <c r="L15" s="176">
        <f>'IBS Action Plan 20170131'!L15</f>
        <v>372</v>
      </c>
      <c r="M15" s="168" t="str">
        <f>'IBS Action Plan 20170131'!N15</f>
        <v xml:space="preserve"> 2018-2020 </v>
      </c>
      <c r="N15" s="157"/>
      <c r="O15" s="256">
        <f>'IBS Action Plan 20170131'!P15</f>
        <v>0</v>
      </c>
      <c r="P15" s="256">
        <f>'IBS Action Plan 20170131'!Q15</f>
        <v>0</v>
      </c>
      <c r="Q15" s="256">
        <f>'IBS Action Plan 20170131'!R15</f>
        <v>0</v>
      </c>
      <c r="R15" s="256">
        <f>'IBS Action Plan 20170131'!S15</f>
        <v>0</v>
      </c>
      <c r="S15" s="256">
        <f>'IBS Action Plan 20170131'!T15</f>
        <v>0</v>
      </c>
      <c r="T15" s="256">
        <f>'IBS Action Plan 20170131'!U15</f>
        <v>0</v>
      </c>
      <c r="U15" s="256">
        <f>'IBS Action Plan 20170131'!V15</f>
        <v>0</v>
      </c>
      <c r="V15" s="256">
        <f>'IBS Action Plan 20170131'!W15</f>
        <v>0</v>
      </c>
      <c r="W15" s="256">
        <f>'IBS Action Plan 20170131'!X15</f>
        <v>0</v>
      </c>
      <c r="X15" s="256">
        <f>'IBS Action Plan 20170131'!Y15</f>
        <v>0</v>
      </c>
      <c r="Y15" s="257">
        <f>'IBS Action Plan 20170131'!Z15</f>
        <v>390</v>
      </c>
      <c r="Z15" s="153"/>
    </row>
    <row r="16" spans="1:26" x14ac:dyDescent="0.3">
      <c r="A16" s="748"/>
      <c r="B16" s="104" t="str">
        <f>'IBS Action Plan 20170131'!B16</f>
        <v>DMK - Eklund</v>
      </c>
      <c r="C16" s="84">
        <f>'IBS Action Plan 20170131'!C16</f>
        <v>95</v>
      </c>
      <c r="D16" s="176">
        <f>'IBS Action Plan 20170131'!D16</f>
        <v>71</v>
      </c>
      <c r="E16" s="176">
        <f>'IBS Action Plan 20170131'!E16</f>
        <v>14</v>
      </c>
      <c r="F16" s="176">
        <f>'IBS Action Plan 20170131'!F16</f>
        <v>441</v>
      </c>
      <c r="G16" s="176">
        <f>'IBS Action Plan 20170131'!G16</f>
        <v>621</v>
      </c>
      <c r="H16" s="176">
        <f>'IBS Action Plan 20170131'!H16</f>
        <v>400.5</v>
      </c>
      <c r="I16" s="422">
        <f>'IBS Action Plan 20170131'!I16</f>
        <v>0.64492753623188404</v>
      </c>
      <c r="J16" s="176">
        <f>'IBS Action Plan 20170131'!J16</f>
        <v>1239</v>
      </c>
      <c r="K16" s="176">
        <f>'IBS Action Plan 20170131'!K16</f>
        <v>195</v>
      </c>
      <c r="L16" s="176">
        <f>'IBS Action Plan 20170131'!L16</f>
        <v>1665</v>
      </c>
      <c r="M16" s="168" t="str">
        <f>'IBS Action Plan 20170131'!N16</f>
        <v xml:space="preserve"> 2017-2019 </v>
      </c>
      <c r="N16" s="157"/>
      <c r="O16" s="256" t="str">
        <f>'IBS Action Plan 20170131'!P16</f>
        <v xml:space="preserve"> Legal </v>
      </c>
      <c r="P16" s="256">
        <f>'IBS Action Plan 20170131'!Q16</f>
        <v>0</v>
      </c>
      <c r="Q16" s="256">
        <f>'IBS Action Plan 20170131'!R16</f>
        <v>0</v>
      </c>
      <c r="R16" s="256">
        <f>'IBS Action Plan 20170131'!S16</f>
        <v>6</v>
      </c>
      <c r="S16" s="256">
        <f>'IBS Action Plan 20170131'!T16</f>
        <v>0</v>
      </c>
      <c r="T16" s="256">
        <f>'IBS Action Plan 20170131'!U16</f>
        <v>42</v>
      </c>
      <c r="U16" s="256">
        <f>'IBS Action Plan 20170131'!V16</f>
        <v>48</v>
      </c>
      <c r="V16" s="256">
        <f>'IBS Action Plan 20170131'!W16</f>
        <v>0</v>
      </c>
      <c r="W16" s="256">
        <f>'IBS Action Plan 20170131'!X16</f>
        <v>48</v>
      </c>
      <c r="X16" s="256" t="str">
        <f>'IBS Action Plan 20170131'!Y16</f>
        <v xml:space="preserve">Recreation Site; isolated; access </v>
      </c>
      <c r="Y16" s="257">
        <f>'IBS Action Plan 20170131'!Z16</f>
        <v>1908</v>
      </c>
      <c r="Z16" s="153"/>
    </row>
    <row r="17" spans="1:26" x14ac:dyDescent="0.3">
      <c r="A17" s="748"/>
      <c r="B17" s="104" t="str">
        <f>'IBS Action Plan 20170131'!B17</f>
        <v>DMK - Holder</v>
      </c>
      <c r="C17" s="84">
        <f>'IBS Action Plan 20170131'!C17</f>
        <v>3</v>
      </c>
      <c r="D17" s="176">
        <f>'IBS Action Plan 20170131'!D17</f>
        <v>0</v>
      </c>
      <c r="E17" s="176">
        <f>'IBS Action Plan 20170131'!E17</f>
        <v>4</v>
      </c>
      <c r="F17" s="176">
        <f>'IBS Action Plan 20170131'!F17</f>
        <v>24</v>
      </c>
      <c r="G17" s="176">
        <f>'IBS Action Plan 20170131'!G17</f>
        <v>31</v>
      </c>
      <c r="H17" s="176">
        <f>'IBS Action Plan 20170131'!H17</f>
        <v>19</v>
      </c>
      <c r="I17" s="422">
        <f>'IBS Action Plan 20170131'!I17</f>
        <v>0.61290322580645162</v>
      </c>
      <c r="J17" s="176">
        <f>'IBS Action Plan 20170131'!J17</f>
        <v>160</v>
      </c>
      <c r="K17" s="176">
        <f>'IBS Action Plan 20170131'!K17</f>
        <v>4</v>
      </c>
      <c r="L17" s="176">
        <f>'IBS Action Plan 20170131'!L17</f>
        <v>186</v>
      </c>
      <c r="M17" s="168" t="str">
        <f>'IBS Action Plan 20170131'!N17</f>
        <v xml:space="preserve"> 2017-2020 </v>
      </c>
      <c r="N17" s="157"/>
      <c r="O17" s="256" t="str">
        <f>'IBS Action Plan 20170131'!P17</f>
        <v xml:space="preserve"> Economic </v>
      </c>
      <c r="P17" s="256">
        <f>'IBS Action Plan 20170131'!Q17</f>
        <v>0</v>
      </c>
      <c r="Q17" s="256">
        <f>'IBS Action Plan 20170131'!R17</f>
        <v>0</v>
      </c>
      <c r="R17" s="256">
        <f>'IBS Action Plan 20170131'!S17</f>
        <v>0</v>
      </c>
      <c r="S17" s="256">
        <f>'IBS Action Plan 20170131'!T17</f>
        <v>0</v>
      </c>
      <c r="T17" s="256">
        <f>'IBS Action Plan 20170131'!U17</f>
        <v>5</v>
      </c>
      <c r="U17" s="256">
        <f>'IBS Action Plan 20170131'!V17</f>
        <v>5</v>
      </c>
      <c r="V17" s="256">
        <f>'IBS Action Plan 20170131'!W17</f>
        <v>0</v>
      </c>
      <c r="W17" s="256">
        <f>'IBS Action Plan 20170131'!X17</f>
        <v>5</v>
      </c>
      <c r="X17" s="256" t="str">
        <f>'IBS Action Plan 20170131'!Y17</f>
        <v xml:space="preserve">Access; isolated </v>
      </c>
      <c r="Y17" s="257">
        <f>'IBS Action Plan 20170131'!Z17</f>
        <v>196</v>
      </c>
      <c r="Z17" s="153"/>
    </row>
    <row r="18" spans="1:26" x14ac:dyDescent="0.3">
      <c r="A18" s="748"/>
      <c r="B18" s="104" t="str">
        <f>'IBS Action Plan 20170131'!B18</f>
        <v>DMK - Manson</v>
      </c>
      <c r="C18" s="84">
        <f>'IBS Action Plan 20170131'!C18</f>
        <v>0</v>
      </c>
      <c r="D18" s="176">
        <f>'IBS Action Plan 20170131'!D18</f>
        <v>10</v>
      </c>
      <c r="E18" s="176">
        <f>'IBS Action Plan 20170131'!E18</f>
        <v>25</v>
      </c>
      <c r="F18" s="176">
        <f>'IBS Action Plan 20170131'!F18</f>
        <v>0</v>
      </c>
      <c r="G18" s="176">
        <f>'IBS Action Plan 20170131'!G18</f>
        <v>35</v>
      </c>
      <c r="H18" s="176">
        <f>'IBS Action Plan 20170131'!H18</f>
        <v>35</v>
      </c>
      <c r="I18" s="422">
        <f>'IBS Action Plan 20170131'!I18</f>
        <v>1</v>
      </c>
      <c r="J18" s="176">
        <f>'IBS Action Plan 20170131'!J18</f>
        <v>612</v>
      </c>
      <c r="K18" s="176">
        <f>'IBS Action Plan 20170131'!K18</f>
        <v>100</v>
      </c>
      <c r="L18" s="176">
        <f>'IBS Action Plan 20170131'!L18</f>
        <v>547</v>
      </c>
      <c r="M18" s="168" t="str">
        <f>'IBS Action Plan 20170131'!N18</f>
        <v xml:space="preserve"> 2017-2019 </v>
      </c>
      <c r="N18" s="157"/>
      <c r="O18" s="256">
        <f>'IBS Action Plan 20170131'!P18</f>
        <v>0</v>
      </c>
      <c r="P18" s="256">
        <f>'IBS Action Plan 20170131'!Q18</f>
        <v>0</v>
      </c>
      <c r="Q18" s="256">
        <f>'IBS Action Plan 20170131'!R18</f>
        <v>0</v>
      </c>
      <c r="R18" s="256">
        <f>'IBS Action Plan 20170131'!S18</f>
        <v>0</v>
      </c>
      <c r="S18" s="256">
        <f>'IBS Action Plan 20170131'!T18</f>
        <v>0</v>
      </c>
      <c r="T18" s="256">
        <f>'IBS Action Plan 20170131'!U18</f>
        <v>0</v>
      </c>
      <c r="U18" s="256">
        <f>'IBS Action Plan 20170131'!V18</f>
        <v>0</v>
      </c>
      <c r="V18" s="256">
        <f>'IBS Action Plan 20170131'!W18</f>
        <v>0</v>
      </c>
      <c r="W18" s="256">
        <f>'IBS Action Plan 20170131'!X18</f>
        <v>0</v>
      </c>
      <c r="X18" s="256">
        <f>'IBS Action Plan 20170131'!Y18</f>
        <v>0</v>
      </c>
      <c r="Y18" s="257">
        <f>'IBS Action Plan 20170131'!Z18</f>
        <v>647</v>
      </c>
      <c r="Z18" s="153"/>
    </row>
    <row r="19" spans="1:26" x14ac:dyDescent="0.3">
      <c r="A19" s="748"/>
      <c r="B19" s="104" t="str">
        <f>'IBS Action Plan 20170131'!B19</f>
        <v>DMK - Nation</v>
      </c>
      <c r="C19" s="84">
        <f>'IBS Action Plan 20170131'!C19</f>
        <v>0</v>
      </c>
      <c r="D19" s="176">
        <f>'IBS Action Plan 20170131'!D19</f>
        <v>0</v>
      </c>
      <c r="E19" s="176">
        <f>'IBS Action Plan 20170131'!E19</f>
        <v>143</v>
      </c>
      <c r="F19" s="176">
        <f>'IBS Action Plan 20170131'!F19</f>
        <v>208</v>
      </c>
      <c r="G19" s="176">
        <f>'IBS Action Plan 20170131'!G19</f>
        <v>351</v>
      </c>
      <c r="H19" s="176">
        <f>'IBS Action Plan 20170131'!H19</f>
        <v>247</v>
      </c>
      <c r="I19" s="422">
        <f>'IBS Action Plan 20170131'!I19</f>
        <v>0.70370370370370372</v>
      </c>
      <c r="J19" s="176">
        <f>'IBS Action Plan 20170131'!J19</f>
        <v>197</v>
      </c>
      <c r="K19" s="176">
        <f>'IBS Action Plan 20170131'!K19</f>
        <v>46</v>
      </c>
      <c r="L19" s="176">
        <f>'IBS Action Plan 20170131'!L19</f>
        <v>503</v>
      </c>
      <c r="M19" s="168" t="str">
        <f>'IBS Action Plan 20170131'!N19</f>
        <v xml:space="preserve"> 2017-2019 </v>
      </c>
      <c r="N19" s="157"/>
      <c r="O19" s="256">
        <f>'IBS Action Plan 20170131'!P19</f>
        <v>0</v>
      </c>
      <c r="P19" s="256">
        <f>'IBS Action Plan 20170131'!Q19</f>
        <v>0</v>
      </c>
      <c r="Q19" s="256">
        <f>'IBS Action Plan 20170131'!R19</f>
        <v>0</v>
      </c>
      <c r="R19" s="256">
        <f>'IBS Action Plan 20170131'!S19</f>
        <v>0</v>
      </c>
      <c r="S19" s="256">
        <f>'IBS Action Plan 20170131'!T19</f>
        <v>0</v>
      </c>
      <c r="T19" s="256">
        <f>'IBS Action Plan 20170131'!U19</f>
        <v>0</v>
      </c>
      <c r="U19" s="256">
        <f>'IBS Action Plan 20170131'!V19</f>
        <v>0</v>
      </c>
      <c r="V19" s="256">
        <f>'IBS Action Plan 20170131'!W19</f>
        <v>0</v>
      </c>
      <c r="W19" s="256">
        <f>'IBS Action Plan 20170131'!X19</f>
        <v>0</v>
      </c>
      <c r="X19" s="256">
        <f>'IBS Action Plan 20170131'!Y19</f>
        <v>0</v>
      </c>
      <c r="Y19" s="257">
        <f>'IBS Action Plan 20170131'!Z19</f>
        <v>548</v>
      </c>
      <c r="Z19" s="153"/>
    </row>
    <row r="20" spans="1:26" x14ac:dyDescent="0.3">
      <c r="A20" s="748"/>
      <c r="B20" s="104" t="str">
        <f>'IBS Action Plan 20170131'!B20</f>
        <v>DMK - Ospika</v>
      </c>
      <c r="C20" s="84">
        <f>'IBS Action Plan 20170131'!C20</f>
        <v>0</v>
      </c>
      <c r="D20" s="176">
        <f>'IBS Action Plan 20170131'!D20</f>
        <v>0</v>
      </c>
      <c r="E20" s="176">
        <f>'IBS Action Plan 20170131'!E20</f>
        <v>0</v>
      </c>
      <c r="F20" s="176">
        <f>'IBS Action Plan 20170131'!F20</f>
        <v>0</v>
      </c>
      <c r="G20" s="176">
        <f>'IBS Action Plan 20170131'!G20</f>
        <v>0</v>
      </c>
      <c r="H20" s="176">
        <f>'IBS Action Plan 20170131'!H20</f>
        <v>0</v>
      </c>
      <c r="I20" s="422">
        <f>'IBS Action Plan 20170131'!I20</f>
        <v>0</v>
      </c>
      <c r="J20" s="176">
        <f>'IBS Action Plan 20170131'!J20</f>
        <v>383</v>
      </c>
      <c r="K20" s="176">
        <f>'IBS Action Plan 20170131'!K20</f>
        <v>190</v>
      </c>
      <c r="L20" s="176">
        <f>'IBS Action Plan 20170131'!L20</f>
        <v>193</v>
      </c>
      <c r="M20" s="168" t="str">
        <f>'IBS Action Plan 20170131'!N20</f>
        <v xml:space="preserve"> 2019-2022 </v>
      </c>
      <c r="N20" s="157"/>
      <c r="O20" s="256" t="str">
        <f>'IBS Action Plan 20170131'!P20</f>
        <v xml:space="preserve"> Economic </v>
      </c>
      <c r="P20" s="256">
        <f>'IBS Action Plan 20170131'!Q20</f>
        <v>0</v>
      </c>
      <c r="Q20" s="256">
        <f>'IBS Action Plan 20170131'!R20</f>
        <v>0</v>
      </c>
      <c r="R20" s="256">
        <f>'IBS Action Plan 20170131'!S20</f>
        <v>0</v>
      </c>
      <c r="S20" s="256">
        <f>'IBS Action Plan 20170131'!T20</f>
        <v>0</v>
      </c>
      <c r="T20" s="256">
        <f>'IBS Action Plan 20170131'!U20</f>
        <v>207</v>
      </c>
      <c r="U20" s="256">
        <f>'IBS Action Plan 20170131'!V20</f>
        <v>207</v>
      </c>
      <c r="V20" s="256">
        <f>'IBS Action Plan 20170131'!W20</f>
        <v>69</v>
      </c>
      <c r="W20" s="256">
        <f>'IBS Action Plan 20170131'!X20</f>
        <v>138</v>
      </c>
      <c r="X20" s="256" t="str">
        <f>'IBS Action Plan 20170131'!Y20</f>
        <v xml:space="preserve">Roads, isolated, practicality </v>
      </c>
      <c r="Y20" s="257">
        <f>'IBS Action Plan 20170131'!Z20</f>
        <v>590</v>
      </c>
      <c r="Z20" s="153"/>
    </row>
    <row r="21" spans="1:26" x14ac:dyDescent="0.3">
      <c r="A21" s="748"/>
      <c r="B21" s="104" t="str">
        <f>'IBS Action Plan 20170131'!B21</f>
        <v>DMK - Philip Creek</v>
      </c>
      <c r="C21" s="84">
        <f>'IBS Action Plan 20170131'!C21</f>
        <v>0</v>
      </c>
      <c r="D21" s="176">
        <f>'IBS Action Plan 20170131'!D21</f>
        <v>0</v>
      </c>
      <c r="E21" s="176">
        <f>'IBS Action Plan 20170131'!E21</f>
        <v>0</v>
      </c>
      <c r="F21" s="176">
        <f>'IBS Action Plan 20170131'!F21</f>
        <v>184</v>
      </c>
      <c r="G21" s="176">
        <f>'IBS Action Plan 20170131'!G21</f>
        <v>184</v>
      </c>
      <c r="H21" s="176">
        <f>'IBS Action Plan 20170131'!H21</f>
        <v>92</v>
      </c>
      <c r="I21" s="422">
        <f>'IBS Action Plan 20170131'!I21</f>
        <v>0.5</v>
      </c>
      <c r="J21" s="176">
        <f>'IBS Action Plan 20170131'!J21</f>
        <v>900</v>
      </c>
      <c r="K21" s="176">
        <f>'IBS Action Plan 20170131'!K21</f>
        <v>39</v>
      </c>
      <c r="L21" s="176">
        <f>'IBS Action Plan 20170131'!L21</f>
        <v>1046</v>
      </c>
      <c r="M21" s="168" t="str">
        <f>'IBS Action Plan 20170131'!N21</f>
        <v xml:space="preserve"> 2017-2019 </v>
      </c>
      <c r="N21" s="157"/>
      <c r="O21" s="256">
        <f>'IBS Action Plan 20170131'!P21</f>
        <v>0</v>
      </c>
      <c r="P21" s="256">
        <f>'IBS Action Plan 20170131'!Q21</f>
        <v>0</v>
      </c>
      <c r="Q21" s="256">
        <f>'IBS Action Plan 20170131'!R21</f>
        <v>0</v>
      </c>
      <c r="R21" s="256">
        <f>'IBS Action Plan 20170131'!S21</f>
        <v>0</v>
      </c>
      <c r="S21" s="256">
        <f>'IBS Action Plan 20170131'!T21</f>
        <v>0</v>
      </c>
      <c r="T21" s="256">
        <f>'IBS Action Plan 20170131'!U21</f>
        <v>0</v>
      </c>
      <c r="U21" s="256">
        <f>'IBS Action Plan 20170131'!V21</f>
        <v>0</v>
      </c>
      <c r="V21" s="256">
        <f>'IBS Action Plan 20170131'!W21</f>
        <v>0</v>
      </c>
      <c r="W21" s="256">
        <f>'IBS Action Plan 20170131'!X21</f>
        <v>0</v>
      </c>
      <c r="X21" s="256">
        <f>'IBS Action Plan 20170131'!Y21</f>
        <v>0</v>
      </c>
      <c r="Y21" s="257">
        <f>'IBS Action Plan 20170131'!Z21</f>
        <v>1084</v>
      </c>
      <c r="Z21" s="153"/>
    </row>
    <row r="22" spans="1:26" ht="15" thickBot="1" x14ac:dyDescent="0.35">
      <c r="A22" s="748"/>
      <c r="B22" s="260" t="str">
        <f>'IBS Action Plan 20170131'!B22</f>
        <v>DMK - Rupert</v>
      </c>
      <c r="C22" s="96">
        <f>'IBS Action Plan 20170131'!C22</f>
        <v>0</v>
      </c>
      <c r="D22" s="171">
        <f>'IBS Action Plan 20170131'!D22</f>
        <v>8</v>
      </c>
      <c r="E22" s="171">
        <f>'IBS Action Plan 20170131'!E22</f>
        <v>8</v>
      </c>
      <c r="F22" s="171">
        <f>'IBS Action Plan 20170131'!F22</f>
        <v>293</v>
      </c>
      <c r="G22" s="171">
        <f>'IBS Action Plan 20170131'!G22</f>
        <v>309</v>
      </c>
      <c r="H22" s="171">
        <f>'IBS Action Plan 20170131'!H22</f>
        <v>162.5</v>
      </c>
      <c r="I22" s="423">
        <f>'IBS Action Plan 20170131'!I22</f>
        <v>0.52588996763754048</v>
      </c>
      <c r="J22" s="171">
        <f>'IBS Action Plan 20170131'!J22</f>
        <v>226</v>
      </c>
      <c r="K22" s="171">
        <f>'IBS Action Plan 20170131'!K22</f>
        <v>41</v>
      </c>
      <c r="L22" s="171">
        <f>'IBS Action Plan 20170131'!L22</f>
        <v>495</v>
      </c>
      <c r="M22" s="90" t="str">
        <f>'IBS Action Plan 20170131'!N22</f>
        <v xml:space="preserve"> 2018-2020 </v>
      </c>
      <c r="N22" s="157"/>
      <c r="O22" s="261">
        <f>'IBS Action Plan 20170131'!P22</f>
        <v>0</v>
      </c>
      <c r="P22" s="261">
        <f>'IBS Action Plan 20170131'!Q22</f>
        <v>0</v>
      </c>
      <c r="Q22" s="261">
        <f>'IBS Action Plan 20170131'!R22</f>
        <v>0</v>
      </c>
      <c r="R22" s="261">
        <f>'IBS Action Plan 20170131'!S22</f>
        <v>0</v>
      </c>
      <c r="S22" s="261">
        <f>'IBS Action Plan 20170131'!T22</f>
        <v>0</v>
      </c>
      <c r="T22" s="261">
        <f>'IBS Action Plan 20170131'!U22</f>
        <v>0</v>
      </c>
      <c r="U22" s="261">
        <f>'IBS Action Plan 20170131'!V22</f>
        <v>0</v>
      </c>
      <c r="V22" s="261">
        <f>'IBS Action Plan 20170131'!W22</f>
        <v>0</v>
      </c>
      <c r="W22" s="261">
        <f>'IBS Action Plan 20170131'!X22</f>
        <v>0</v>
      </c>
      <c r="X22" s="261">
        <f>'IBS Action Plan 20170131'!Y22</f>
        <v>0</v>
      </c>
      <c r="Y22" s="262">
        <f>'IBS Action Plan 20170131'!Z22</f>
        <v>535</v>
      </c>
      <c r="Z22" s="153"/>
    </row>
    <row r="23" spans="1:26" ht="15" thickBot="1" x14ac:dyDescent="0.35">
      <c r="A23" s="269" t="s">
        <v>14</v>
      </c>
      <c r="B23" s="294" t="str">
        <f>'IBS Action Plan 20170131'!B23</f>
        <v>Canfor MK TSA</v>
      </c>
      <c r="C23" s="264">
        <f>'IBS Action Plan 20170131'!C23</f>
        <v>880</v>
      </c>
      <c r="D23" s="265">
        <f>'IBS Action Plan 20170131'!D23</f>
        <v>493</v>
      </c>
      <c r="E23" s="265">
        <f>'IBS Action Plan 20170131'!E23</f>
        <v>740</v>
      </c>
      <c r="F23" s="265">
        <f>'IBS Action Plan 20170131'!F23</f>
        <v>2149</v>
      </c>
      <c r="G23" s="265">
        <f>'IBS Action Plan 20170131'!G23</f>
        <v>4262</v>
      </c>
      <c r="H23" s="265">
        <f>'IBS Action Plan 20170131'!H23</f>
        <v>3187.5</v>
      </c>
      <c r="I23" s="424">
        <f>'IBS Action Plan 20170131'!I23</f>
        <v>0.74788831534490852</v>
      </c>
      <c r="J23" s="265">
        <f>'IBS Action Plan 20170131'!J23</f>
        <v>4396</v>
      </c>
      <c r="K23" s="265">
        <f>'IBS Action Plan 20170131'!K23</f>
        <v>837</v>
      </c>
      <c r="L23" s="265">
        <f>'IBS Action Plan 20170131'!L23</f>
        <v>7821</v>
      </c>
      <c r="M23" s="266">
        <f>'IBS Action Plan 20170131'!N23</f>
        <v>0</v>
      </c>
      <c r="N23" s="157"/>
      <c r="O23" s="267">
        <f>'IBS Action Plan 20170131'!P23</f>
        <v>0</v>
      </c>
      <c r="P23" s="267">
        <f>'IBS Action Plan 20170131'!Q23</f>
        <v>0</v>
      </c>
      <c r="Q23" s="267">
        <f>'IBS Action Plan 20170131'!R23</f>
        <v>0</v>
      </c>
      <c r="R23" s="267">
        <f>'IBS Action Plan 20170131'!S23</f>
        <v>17</v>
      </c>
      <c r="S23" s="267">
        <f>'IBS Action Plan 20170131'!T23</f>
        <v>20</v>
      </c>
      <c r="T23" s="267">
        <f>'IBS Action Plan 20170131'!U23</f>
        <v>264</v>
      </c>
      <c r="U23" s="267">
        <f>'IBS Action Plan 20170131'!V23</f>
        <v>301</v>
      </c>
      <c r="V23" s="267">
        <f>'IBS Action Plan 20170131'!W23</f>
        <v>72</v>
      </c>
      <c r="W23" s="267">
        <f>'IBS Action Plan 20170131'!X23</f>
        <v>229</v>
      </c>
      <c r="X23" s="267">
        <f>'IBS Action Plan 20170131'!Y23</f>
        <v>0</v>
      </c>
      <c r="Y23" s="268">
        <f>'IBS Action Plan 20170131'!Z23</f>
        <v>8959</v>
      </c>
      <c r="Z23" s="153"/>
    </row>
    <row r="24" spans="1:26" x14ac:dyDescent="0.3">
      <c r="A24" s="749" t="s">
        <v>129</v>
      </c>
      <c r="B24" s="259" t="str">
        <f>'IBS Action Plan 20170131'!B24</f>
        <v>Parsnip</v>
      </c>
      <c r="C24" s="84">
        <f>'IBS Action Plan 20170131'!C24</f>
        <v>1573.7891420000001</v>
      </c>
      <c r="D24" s="176">
        <f>'IBS Action Plan 20170131'!D24</f>
        <v>163.16569699999999</v>
      </c>
      <c r="E24" s="176">
        <f>'IBS Action Plan 20170131'!E24</f>
        <v>2418.411987</v>
      </c>
      <c r="F24" s="176">
        <f>'IBS Action Plan 20170131'!F24</f>
        <v>565.98814000000004</v>
      </c>
      <c r="G24" s="176">
        <f>'IBS Action Plan 20170131'!G24</f>
        <v>4721.3549659999999</v>
      </c>
      <c r="H24" s="176">
        <f>'IBS Action Plan 20170131'!H24</f>
        <v>4438.3608959999992</v>
      </c>
      <c r="I24" s="422">
        <f>'IBS Action Plan 20170131'!I24</f>
        <v>0.94006083591724576</v>
      </c>
      <c r="J24" s="176">
        <f>'IBS Action Plan 20170131'!J24</f>
        <v>343.88704300000001</v>
      </c>
      <c r="K24" s="176">
        <f>'IBS Action Plan 20170131'!K24</f>
        <v>811.97203400000001</v>
      </c>
      <c r="L24" s="176">
        <f>'IBS Action Plan 20170131'!L24</f>
        <v>4253.2699759999996</v>
      </c>
      <c r="M24" s="168" t="str">
        <f>'IBS Action Plan 20170131'!N24</f>
        <v>2016-2020</v>
      </c>
      <c r="N24" s="157"/>
      <c r="O24" s="256" t="str">
        <f>'IBS Action Plan 20170131'!P24</f>
        <v>Economic</v>
      </c>
      <c r="P24" s="256">
        <f>'IBS Action Plan 20170131'!Q24</f>
        <v>497.58506499999999</v>
      </c>
      <c r="Q24" s="256">
        <f>'IBS Action Plan 20170131'!R24</f>
        <v>143.29147399999999</v>
      </c>
      <c r="R24" s="256">
        <f>'IBS Action Plan 20170131'!S24</f>
        <v>862.97542999999996</v>
      </c>
      <c r="S24" s="256">
        <f>'IBS Action Plan 20170131'!T24</f>
        <v>157.714631</v>
      </c>
      <c r="T24" s="256">
        <f>'IBS Action Plan 20170131'!U24</f>
        <v>85.922109000000006</v>
      </c>
      <c r="U24" s="256">
        <f>'IBS Action Plan 20170131'!V24</f>
        <v>1747.488709</v>
      </c>
      <c r="V24" s="256">
        <f>'IBS Action Plan 20170131'!W24</f>
        <v>1747.4887080000001</v>
      </c>
      <c r="W24" s="256">
        <f>'IBS Action Plan 20170131'!X24</f>
        <v>0</v>
      </c>
      <c r="X24" s="256" t="str">
        <f>'IBS Action Plan 20170131'!Y24</f>
        <v>Road Access, practicality</v>
      </c>
      <c r="Y24" s="257">
        <f>'IBS Action Plan 20170131'!Z24</f>
        <v>6812.7307179999998</v>
      </c>
      <c r="Z24" s="153"/>
    </row>
    <row r="25" spans="1:26" x14ac:dyDescent="0.3">
      <c r="A25" s="750"/>
      <c r="B25" s="104" t="str">
        <f>'IBS Action Plan 20170131'!B25</f>
        <v>Chunamon</v>
      </c>
      <c r="C25" s="84">
        <f>'IBS Action Plan 20170131'!C25</f>
        <v>0</v>
      </c>
      <c r="D25" s="176">
        <f>'IBS Action Plan 20170131'!D25</f>
        <v>0</v>
      </c>
      <c r="E25" s="176">
        <f>'IBS Action Plan 20170131'!E25</f>
        <v>0</v>
      </c>
      <c r="F25" s="176">
        <f>'IBS Action Plan 20170131'!F25</f>
        <v>7.6005200000000004</v>
      </c>
      <c r="G25" s="176">
        <f>'IBS Action Plan 20170131'!G25</f>
        <v>7.6005200000000004</v>
      </c>
      <c r="H25" s="176">
        <f>'IBS Action Plan 20170131'!H25</f>
        <v>3.8002600000000002</v>
      </c>
      <c r="I25" s="422">
        <f>'IBS Action Plan 20170131'!I25</f>
        <v>0.5</v>
      </c>
      <c r="J25" s="176">
        <f>'IBS Action Plan 20170131'!J25</f>
        <v>668.43455600000004</v>
      </c>
      <c r="K25" s="176">
        <f>'IBS Action Plan 20170131'!K25</f>
        <v>26.118659999999998</v>
      </c>
      <c r="L25" s="176">
        <f>'IBS Action Plan 20170131'!L25</f>
        <v>650.04985599999998</v>
      </c>
      <c r="M25" s="168" t="str">
        <f>'IBS Action Plan 20170131'!N25</f>
        <v>2017-2018</v>
      </c>
      <c r="N25" s="157"/>
      <c r="O25" s="256" t="str">
        <f>'IBS Action Plan 20170131'!P25</f>
        <v>Economic</v>
      </c>
      <c r="P25" s="256">
        <f>'IBS Action Plan 20170131'!Q25</f>
        <v>0</v>
      </c>
      <c r="Q25" s="256">
        <f>'IBS Action Plan 20170131'!R25</f>
        <v>0</v>
      </c>
      <c r="R25" s="256">
        <f>'IBS Action Plan 20170131'!S25</f>
        <v>0</v>
      </c>
      <c r="S25" s="256">
        <f>'IBS Action Plan 20170131'!T25</f>
        <v>0</v>
      </c>
      <c r="T25" s="256">
        <f>'IBS Action Plan 20170131'!U25</f>
        <v>43.571154</v>
      </c>
      <c r="U25" s="256">
        <f>'IBS Action Plan 20170131'!V25</f>
        <v>43.571154</v>
      </c>
      <c r="V25" s="256">
        <f>'IBS Action Plan 20170131'!W25</f>
        <v>43.571154</v>
      </c>
      <c r="W25" s="256">
        <f>'IBS Action Plan 20170131'!X25</f>
        <v>0</v>
      </c>
      <c r="X25" s="256" t="str">
        <f>'IBS Action Plan 20170131'!Y25</f>
        <v>Road Access, practicality</v>
      </c>
      <c r="Y25" s="257">
        <f>'IBS Action Plan 20170131'!Z25</f>
        <v>719.60622999999998</v>
      </c>
      <c r="Z25" s="153"/>
    </row>
    <row r="26" spans="1:26" ht="15" thickBot="1" x14ac:dyDescent="0.35">
      <c r="A26" s="751"/>
      <c r="B26" s="260" t="str">
        <f>'IBS Action Plan 20170131'!B26</f>
        <v>Morfee</v>
      </c>
      <c r="C26" s="96">
        <f>'IBS Action Plan 20170131'!C26</f>
        <v>0</v>
      </c>
      <c r="D26" s="171">
        <f>'IBS Action Plan 20170131'!D26</f>
        <v>0</v>
      </c>
      <c r="E26" s="171">
        <f>'IBS Action Plan 20170131'!E26</f>
        <v>0</v>
      </c>
      <c r="F26" s="171">
        <f>'IBS Action Plan 20170131'!F26</f>
        <v>0</v>
      </c>
      <c r="G26" s="171">
        <f>'IBS Action Plan 20170131'!G26</f>
        <v>0</v>
      </c>
      <c r="H26" s="171">
        <f>'IBS Action Plan 20170131'!H26</f>
        <v>0</v>
      </c>
      <c r="I26" s="423">
        <f>'IBS Action Plan 20170131'!I26</f>
        <v>0</v>
      </c>
      <c r="J26" s="171">
        <f>'IBS Action Plan 20170131'!J26</f>
        <v>64.410450999999995</v>
      </c>
      <c r="K26" s="171">
        <f>'IBS Action Plan 20170131'!K26</f>
        <v>0</v>
      </c>
      <c r="L26" s="171">
        <f>'IBS Action Plan 20170131'!L26</f>
        <v>64.277010000000004</v>
      </c>
      <c r="M26" s="90">
        <f>'IBS Action Plan 20170131'!N26</f>
        <v>2017</v>
      </c>
      <c r="N26" s="157"/>
      <c r="O26" s="261" t="str">
        <f>'IBS Action Plan 20170131'!P26</f>
        <v>Economic</v>
      </c>
      <c r="P26" s="261">
        <f>'IBS Action Plan 20170131'!Q26</f>
        <v>86.873819999999995</v>
      </c>
      <c r="Q26" s="261">
        <f>'IBS Action Plan 20170131'!R26</f>
        <v>0</v>
      </c>
      <c r="R26" s="261">
        <f>'IBS Action Plan 20170131'!S26</f>
        <v>31.200416000000001</v>
      </c>
      <c r="S26" s="261">
        <f>'IBS Action Plan 20170131'!T26</f>
        <v>0</v>
      </c>
      <c r="T26" s="261">
        <f>'IBS Action Plan 20170131'!U26</f>
        <v>11.304932000000001</v>
      </c>
      <c r="U26" s="261">
        <f>'IBS Action Plan 20170131'!V26</f>
        <v>129.37916799999999</v>
      </c>
      <c r="V26" s="261">
        <f>'IBS Action Plan 20170131'!W26</f>
        <v>129.37916799999999</v>
      </c>
      <c r="W26" s="261">
        <f>'IBS Action Plan 20170131'!X26</f>
        <v>0</v>
      </c>
      <c r="X26" s="261" t="str">
        <f>'IBS Action Plan 20170131'!Y26</f>
        <v>Road Access, practicality</v>
      </c>
      <c r="Y26" s="262">
        <f>'IBS Action Plan 20170131'!Z26</f>
        <v>193.78961899999999</v>
      </c>
      <c r="Z26" s="153"/>
    </row>
    <row r="27" spans="1:26" ht="15" thickBot="1" x14ac:dyDescent="0.35">
      <c r="A27" s="263" t="s">
        <v>14</v>
      </c>
      <c r="B27" s="294" t="str">
        <f>'IBS Action Plan 20170131'!B27</f>
        <v>Conifex MK TSA</v>
      </c>
      <c r="C27" s="264">
        <f>'IBS Action Plan 20170131'!C27</f>
        <v>1573.7891420000001</v>
      </c>
      <c r="D27" s="265">
        <f>'IBS Action Plan 20170131'!D27</f>
        <v>163.16569699999999</v>
      </c>
      <c r="E27" s="265">
        <f>'IBS Action Plan 20170131'!E27</f>
        <v>2418.411987</v>
      </c>
      <c r="F27" s="265">
        <f>'IBS Action Plan 20170131'!F27</f>
        <v>573.58866</v>
      </c>
      <c r="G27" s="265">
        <f>'IBS Action Plan 20170131'!G27</f>
        <v>4728.9554859999998</v>
      </c>
      <c r="H27" s="265">
        <f>'IBS Action Plan 20170131'!H27</f>
        <v>4442.1611559999992</v>
      </c>
      <c r="I27" s="424">
        <f>'IBS Action Plan 20170131'!I27</f>
        <v>0.93935355685858091</v>
      </c>
      <c r="J27" s="265">
        <f>'IBS Action Plan 20170131'!J27</f>
        <v>1076.7320500000001</v>
      </c>
      <c r="K27" s="265">
        <f>'IBS Action Plan 20170131'!K27</f>
        <v>838.09069399999998</v>
      </c>
      <c r="L27" s="265">
        <f>'IBS Action Plan 20170131'!L27</f>
        <v>4967.596841999999</v>
      </c>
      <c r="M27" s="266">
        <f>'IBS Action Plan 20170131'!N27</f>
        <v>0</v>
      </c>
      <c r="N27" s="157"/>
      <c r="O27" s="267">
        <f>'IBS Action Plan 20170131'!P27</f>
        <v>0</v>
      </c>
      <c r="P27" s="267">
        <f>'IBS Action Plan 20170131'!Q27</f>
        <v>584.45888500000001</v>
      </c>
      <c r="Q27" s="267">
        <f>'IBS Action Plan 20170131'!R27</f>
        <v>143.29147399999999</v>
      </c>
      <c r="R27" s="267">
        <f>'IBS Action Plan 20170131'!S27</f>
        <v>894.17584599999998</v>
      </c>
      <c r="S27" s="267">
        <f>'IBS Action Plan 20170131'!T27</f>
        <v>157.714631</v>
      </c>
      <c r="T27" s="267">
        <f>'IBS Action Plan 20170131'!U27</f>
        <v>140.79819500000002</v>
      </c>
      <c r="U27" s="267">
        <f>'IBS Action Plan 20170131'!V27</f>
        <v>1920.4390309999999</v>
      </c>
      <c r="V27" s="267">
        <f>'IBS Action Plan 20170131'!W27</f>
        <v>1920.43903</v>
      </c>
      <c r="W27" s="267">
        <f>'IBS Action Plan 20170131'!X27</f>
        <v>0</v>
      </c>
      <c r="X27" s="267">
        <f>'IBS Action Plan 20170131'!Y27</f>
        <v>0</v>
      </c>
      <c r="Y27" s="268">
        <f>'IBS Action Plan 20170131'!Z27</f>
        <v>7726.1265669999993</v>
      </c>
      <c r="Z27" s="35"/>
    </row>
    <row r="28" spans="1:26" ht="15" thickBot="1" x14ac:dyDescent="0.35">
      <c r="A28" s="188" t="s">
        <v>7</v>
      </c>
      <c r="B28" s="294" t="str">
        <f>'IBS Action Plan 20170131'!B28</f>
        <v>MK TSA</v>
      </c>
      <c r="C28" s="264">
        <f>'IBS Action Plan 20170131'!C28</f>
        <v>2453.7891420000001</v>
      </c>
      <c r="D28" s="265">
        <f>'IBS Action Plan 20170131'!D28</f>
        <v>1367.1656969999999</v>
      </c>
      <c r="E28" s="265">
        <f>'IBS Action Plan 20170131'!E28</f>
        <v>9555.4119869999995</v>
      </c>
      <c r="F28" s="265">
        <f>'IBS Action Plan 20170131'!F28</f>
        <v>11610.588659999999</v>
      </c>
      <c r="G28" s="265">
        <f>'IBS Action Plan 20170131'!G28</f>
        <v>24986.955485999999</v>
      </c>
      <c r="H28" s="265">
        <f>'IBS Action Plan 20170131'!H28</f>
        <v>19181.661155999998</v>
      </c>
      <c r="I28" s="424">
        <f>'IBS Action Plan 20170131'!I28</f>
        <v>0.76766699995713117</v>
      </c>
      <c r="J28" s="265">
        <f>'IBS Action Plan 20170131'!J28</f>
        <v>14050.732050000001</v>
      </c>
      <c r="K28" s="265">
        <f>'IBS Action Plan 20170131'!K28</f>
        <v>6476.0906940000004</v>
      </c>
      <c r="L28" s="265">
        <f>'IBS Action Plan 20170131'!L28</f>
        <v>32561.596841999999</v>
      </c>
      <c r="M28" s="266">
        <f>'IBS Action Plan 20170131'!N28</f>
        <v>0</v>
      </c>
      <c r="N28" s="157"/>
      <c r="O28" s="267">
        <f>'IBS Action Plan 20170131'!P28</f>
        <v>0</v>
      </c>
      <c r="P28" s="267">
        <f>'IBS Action Plan 20170131'!Q28</f>
        <v>584.45888500000001</v>
      </c>
      <c r="Q28" s="267">
        <f>'IBS Action Plan 20170131'!R28</f>
        <v>143.29147399999999</v>
      </c>
      <c r="R28" s="267">
        <f>'IBS Action Plan 20170131'!S28</f>
        <v>10911.175846</v>
      </c>
      <c r="S28" s="267">
        <f>'IBS Action Plan 20170131'!T28</f>
        <v>5757.7146309999998</v>
      </c>
      <c r="T28" s="267">
        <f>'IBS Action Plan 20170131'!U28</f>
        <v>5597.7981950000003</v>
      </c>
      <c r="U28" s="267">
        <f>'IBS Action Plan 20170131'!V28</f>
        <v>22994.439031000002</v>
      </c>
      <c r="V28" s="267">
        <f>'IBS Action Plan 20170131'!W28</f>
        <v>10301.63903</v>
      </c>
      <c r="W28" s="267">
        <f>'IBS Action Plan 20170131'!X28</f>
        <v>12692.8</v>
      </c>
      <c r="X28" s="267">
        <f>'IBS Action Plan 20170131'!Y28</f>
        <v>0</v>
      </c>
      <c r="Y28" s="268">
        <f>'IBS Action Plan 20170131'!Z28</f>
        <v>62032.126566999999</v>
      </c>
      <c r="Z28" s="35"/>
    </row>
    <row r="29" spans="1:26" ht="15" thickBot="1" x14ac:dyDescent="0.35">
      <c r="A29" s="188"/>
      <c r="B29" s="294" t="str">
        <f>'IBS Action Plan 20170131'!B29</f>
        <v>Volume (m3; @275m3/ha)</v>
      </c>
      <c r="C29" s="264">
        <f>'IBS Action Plan 20170131'!C29</f>
        <v>674792.01405</v>
      </c>
      <c r="D29" s="265">
        <f>'IBS Action Plan 20170131'!D29</f>
        <v>375970.56667499995</v>
      </c>
      <c r="E29" s="265">
        <f>'IBS Action Plan 20170131'!E29</f>
        <v>2627738.2964249998</v>
      </c>
      <c r="F29" s="265">
        <f>'IBS Action Plan 20170131'!F29</f>
        <v>3192911.8814999997</v>
      </c>
      <c r="G29" s="265">
        <f>'IBS Action Plan 20170131'!G29</f>
        <v>6871412.7586499993</v>
      </c>
      <c r="H29" s="265">
        <f>'IBS Action Plan 20170131'!H29</f>
        <v>5274956.8178999992</v>
      </c>
      <c r="I29" s="424"/>
      <c r="J29" s="265">
        <f>'IBS Action Plan 20170131'!J29</f>
        <v>0</v>
      </c>
      <c r="K29" s="265">
        <f>'IBS Action Plan 20170131'!K29</f>
        <v>0</v>
      </c>
      <c r="L29" s="265">
        <f>'IBS Action Plan 20170131'!L29</f>
        <v>0</v>
      </c>
      <c r="M29" s="266">
        <f>'IBS Action Plan 20170131'!N29</f>
        <v>0</v>
      </c>
      <c r="N29" s="157"/>
      <c r="O29" s="267">
        <f>'IBS Action Plan 20170131'!P29</f>
        <v>0</v>
      </c>
      <c r="P29" s="267">
        <f>'IBS Action Plan 20170131'!Q29</f>
        <v>0</v>
      </c>
      <c r="Q29" s="267">
        <f>'IBS Action Plan 20170131'!R29</f>
        <v>0</v>
      </c>
      <c r="R29" s="267">
        <f>'IBS Action Plan 20170131'!S29</f>
        <v>0</v>
      </c>
      <c r="S29" s="267">
        <f>'IBS Action Plan 20170131'!T29</f>
        <v>0</v>
      </c>
      <c r="T29" s="267">
        <f>'IBS Action Plan 20170131'!U29</f>
        <v>0</v>
      </c>
      <c r="U29" s="267">
        <f>'IBS Action Plan 20170131'!V29</f>
        <v>0</v>
      </c>
      <c r="V29" s="267">
        <f>'IBS Action Plan 20170131'!W29</f>
        <v>0</v>
      </c>
      <c r="W29" s="267">
        <f>'IBS Action Plan 20170131'!X29</f>
        <v>0</v>
      </c>
      <c r="X29" s="267">
        <f>'IBS Action Plan 20170131'!Y29</f>
        <v>0</v>
      </c>
      <c r="Y29" s="268">
        <f>'IBS Action Plan 20170131'!Z29</f>
        <v>6871412.7586499993</v>
      </c>
      <c r="Z29" s="35"/>
    </row>
    <row r="30" spans="1:26" hidden="1" x14ac:dyDescent="0.3">
      <c r="A30" s="690" t="s">
        <v>89</v>
      </c>
      <c r="B30" s="159" t="s">
        <v>22</v>
      </c>
      <c r="C30" s="162">
        <f>'IBS Action Plan 20170131'!C30</f>
        <v>0</v>
      </c>
      <c r="D30" s="165">
        <v>27</v>
      </c>
      <c r="E30" s="165">
        <v>0</v>
      </c>
      <c r="F30" s="179">
        <v>43</v>
      </c>
      <c r="G30" s="165">
        <f>SUM(C30:F30)</f>
        <v>70</v>
      </c>
      <c r="H30" s="216" t="e">
        <f>#REF!</f>
        <v>#REF!</v>
      </c>
      <c r="I30" s="216"/>
      <c r="J30" s="165">
        <v>94</v>
      </c>
      <c r="K30" s="165">
        <v>1</v>
      </c>
      <c r="L30" s="165">
        <v>163</v>
      </c>
      <c r="M30" s="200" t="s">
        <v>91</v>
      </c>
      <c r="N30" s="130"/>
      <c r="O30" s="160"/>
      <c r="P30" s="162" t="s">
        <v>90</v>
      </c>
      <c r="Q30" s="165" t="s">
        <v>90</v>
      </c>
      <c r="R30" s="165" t="s">
        <v>90</v>
      </c>
      <c r="S30" s="165" t="s">
        <v>90</v>
      </c>
      <c r="T30" s="165" t="s">
        <v>90</v>
      </c>
      <c r="U30" s="167">
        <f>SUM(P30:T30)</f>
        <v>0</v>
      </c>
      <c r="V30" s="162"/>
      <c r="W30" s="167"/>
      <c r="X30" s="25"/>
      <c r="Y30" s="113">
        <f t="shared" ref="Y30:Y71" si="0">+G30+U30</f>
        <v>70</v>
      </c>
      <c r="Z30" s="153"/>
    </row>
    <row r="31" spans="1:26" hidden="1" x14ac:dyDescent="0.3">
      <c r="A31" s="748"/>
      <c r="B31" s="42" t="s">
        <v>120</v>
      </c>
      <c r="C31" s="79">
        <f>'IBS Action Plan 20170131'!C31</f>
        <v>0</v>
      </c>
      <c r="D31" s="165">
        <v>0</v>
      </c>
      <c r="E31" s="165">
        <v>0</v>
      </c>
      <c r="F31" s="179">
        <v>55</v>
      </c>
      <c r="G31" s="176">
        <f>SUM(C31:F31)</f>
        <v>55</v>
      </c>
      <c r="H31" s="151" t="e">
        <f>#REF!</f>
        <v>#REF!</v>
      </c>
      <c r="I31" s="216"/>
      <c r="J31" s="165">
        <v>34</v>
      </c>
      <c r="K31" s="165" t="s">
        <v>90</v>
      </c>
      <c r="L31" s="165">
        <v>89</v>
      </c>
      <c r="M31" s="200" t="s">
        <v>92</v>
      </c>
      <c r="N31" s="130"/>
      <c r="O31" s="160"/>
      <c r="P31" s="162" t="s">
        <v>90</v>
      </c>
      <c r="Q31" s="165" t="s">
        <v>90</v>
      </c>
      <c r="R31" s="165" t="s">
        <v>90</v>
      </c>
      <c r="S31" s="165" t="s">
        <v>90</v>
      </c>
      <c r="T31" s="165" t="s">
        <v>90</v>
      </c>
      <c r="U31" s="168">
        <f t="shared" ref="U31:U72" si="1">SUM(P31:T31)</f>
        <v>0</v>
      </c>
      <c r="V31" s="162"/>
      <c r="W31" s="167"/>
      <c r="X31" s="25"/>
      <c r="Y31" s="177">
        <f t="shared" si="0"/>
        <v>55</v>
      </c>
      <c r="Z31" s="153"/>
    </row>
    <row r="32" spans="1:26" hidden="1" x14ac:dyDescent="0.3">
      <c r="A32" s="748"/>
      <c r="B32" s="42" t="s">
        <v>121</v>
      </c>
      <c r="C32" s="79">
        <f>'IBS Action Plan 20170131'!C32</f>
        <v>0</v>
      </c>
      <c r="D32" s="165">
        <v>8</v>
      </c>
      <c r="E32" s="165">
        <v>268</v>
      </c>
      <c r="F32" s="179">
        <v>2160</v>
      </c>
      <c r="G32" s="176">
        <f>SUM(C32:F32)</f>
        <v>2436</v>
      </c>
      <c r="H32" s="151" t="e">
        <f>#REF!</f>
        <v>#REF!</v>
      </c>
      <c r="I32" s="216"/>
      <c r="J32" s="165">
        <v>542</v>
      </c>
      <c r="K32" s="165">
        <v>285</v>
      </c>
      <c r="L32" s="165">
        <v>2692</v>
      </c>
      <c r="M32" s="200" t="s">
        <v>93</v>
      </c>
      <c r="N32" s="130"/>
      <c r="O32" s="160"/>
      <c r="P32" s="162" t="s">
        <v>90</v>
      </c>
      <c r="Q32" s="165" t="s">
        <v>90</v>
      </c>
      <c r="R32" s="165" t="s">
        <v>90</v>
      </c>
      <c r="S32" s="165" t="s">
        <v>90</v>
      </c>
      <c r="T32" s="165">
        <v>28</v>
      </c>
      <c r="U32" s="168">
        <f t="shared" si="1"/>
        <v>28</v>
      </c>
      <c r="V32" s="162"/>
      <c r="W32" s="167"/>
      <c r="X32" s="25" t="s">
        <v>116</v>
      </c>
      <c r="Y32" s="177">
        <f t="shared" si="0"/>
        <v>2464</v>
      </c>
      <c r="Z32" s="153"/>
    </row>
    <row r="33" spans="1:26" hidden="1" x14ac:dyDescent="0.3">
      <c r="A33" s="748"/>
      <c r="B33" s="42" t="s">
        <v>122</v>
      </c>
      <c r="C33" s="79">
        <f>'IBS Action Plan 20170131'!C33</f>
        <v>0</v>
      </c>
      <c r="D33" s="165">
        <v>0</v>
      </c>
      <c r="E33" s="165">
        <v>0</v>
      </c>
      <c r="F33" s="179">
        <v>0</v>
      </c>
      <c r="G33" s="176">
        <v>0</v>
      </c>
      <c r="H33" s="151" t="e">
        <f>#REF!</f>
        <v>#REF!</v>
      </c>
      <c r="I33" s="216"/>
      <c r="J33" s="165">
        <v>0</v>
      </c>
      <c r="K33" s="165" t="s">
        <v>90</v>
      </c>
      <c r="L33" s="165" t="s">
        <v>94</v>
      </c>
      <c r="M33" s="200"/>
      <c r="N33" s="130"/>
      <c r="O33" s="160"/>
      <c r="P33" s="162" t="s">
        <v>90</v>
      </c>
      <c r="Q33" s="165" t="s">
        <v>90</v>
      </c>
      <c r="R33" s="165" t="s">
        <v>90</v>
      </c>
      <c r="S33" s="165" t="s">
        <v>90</v>
      </c>
      <c r="T33" s="165">
        <v>70</v>
      </c>
      <c r="U33" s="168">
        <f t="shared" si="1"/>
        <v>70</v>
      </c>
      <c r="V33" s="162"/>
      <c r="W33" s="167"/>
      <c r="X33" s="25" t="s">
        <v>116</v>
      </c>
      <c r="Y33" s="177">
        <f t="shared" si="0"/>
        <v>70</v>
      </c>
      <c r="Z33" s="153"/>
    </row>
    <row r="34" spans="1:26" hidden="1" x14ac:dyDescent="0.3">
      <c r="A34" s="748"/>
      <c r="B34" s="42" t="s">
        <v>123</v>
      </c>
      <c r="C34" s="79">
        <f>'IBS Action Plan 20170131'!C34</f>
        <v>0</v>
      </c>
      <c r="D34" s="165">
        <v>92</v>
      </c>
      <c r="E34" s="165">
        <v>69</v>
      </c>
      <c r="F34" s="179">
        <v>627</v>
      </c>
      <c r="G34" s="176">
        <f>SUM(C34:F34)</f>
        <v>788</v>
      </c>
      <c r="H34" s="151" t="e">
        <f>#REF!</f>
        <v>#REF!</v>
      </c>
      <c r="I34" s="216"/>
      <c r="J34" s="165">
        <v>324</v>
      </c>
      <c r="K34" s="165">
        <v>13</v>
      </c>
      <c r="L34" s="165">
        <v>1099</v>
      </c>
      <c r="M34" s="200" t="s">
        <v>95</v>
      </c>
      <c r="N34" s="130"/>
      <c r="O34" s="160"/>
      <c r="P34" s="162" t="s">
        <v>90</v>
      </c>
      <c r="Q34" s="165" t="s">
        <v>90</v>
      </c>
      <c r="R34" s="165" t="s">
        <v>90</v>
      </c>
      <c r="S34" s="165" t="s">
        <v>90</v>
      </c>
      <c r="T34" s="165" t="s">
        <v>90</v>
      </c>
      <c r="U34" s="168">
        <f>SUM(P34:T34)</f>
        <v>0</v>
      </c>
      <c r="V34" s="162"/>
      <c r="W34" s="167"/>
      <c r="X34" s="25"/>
      <c r="Y34" s="177">
        <f t="shared" si="0"/>
        <v>788</v>
      </c>
      <c r="Z34" s="153"/>
    </row>
    <row r="35" spans="1:26" hidden="1" x14ac:dyDescent="0.3">
      <c r="A35" s="748"/>
      <c r="B35" s="42" t="s">
        <v>124</v>
      </c>
      <c r="C35" s="79">
        <f>'IBS Action Plan 20170131'!C35</f>
        <v>0</v>
      </c>
      <c r="D35" s="165">
        <v>17</v>
      </c>
      <c r="E35" s="165">
        <v>1023</v>
      </c>
      <c r="F35" s="179">
        <v>2950</v>
      </c>
      <c r="G35" s="176">
        <f>SUM(C35:F35)</f>
        <v>3990</v>
      </c>
      <c r="H35" s="151" t="e">
        <f>#REF!</f>
        <v>#REF!</v>
      </c>
      <c r="I35" s="216"/>
      <c r="J35" s="165">
        <v>299</v>
      </c>
      <c r="K35" s="165">
        <v>1822</v>
      </c>
      <c r="L35" s="165">
        <v>2468</v>
      </c>
      <c r="M35" s="200" t="s">
        <v>91</v>
      </c>
      <c r="N35" s="130"/>
      <c r="O35" s="160"/>
      <c r="P35" s="162" t="s">
        <v>90</v>
      </c>
      <c r="Q35" s="165" t="s">
        <v>90</v>
      </c>
      <c r="R35" s="165" t="s">
        <v>90</v>
      </c>
      <c r="S35" s="165" t="s">
        <v>90</v>
      </c>
      <c r="T35" s="165" t="s">
        <v>90</v>
      </c>
      <c r="U35" s="168">
        <f t="shared" si="1"/>
        <v>0</v>
      </c>
      <c r="V35" s="162"/>
      <c r="W35" s="167"/>
      <c r="X35" s="25"/>
      <c r="Y35" s="177">
        <f t="shared" si="0"/>
        <v>3990</v>
      </c>
      <c r="Z35" s="153"/>
    </row>
    <row r="36" spans="1:26" hidden="1" x14ac:dyDescent="0.3">
      <c r="A36" s="748"/>
      <c r="B36" s="42" t="s">
        <v>125</v>
      </c>
      <c r="C36" s="79">
        <f>'IBS Action Plan 20170131'!C36</f>
        <v>0</v>
      </c>
      <c r="D36" s="165">
        <v>0</v>
      </c>
      <c r="E36" s="165">
        <v>109</v>
      </c>
      <c r="F36" s="179">
        <v>1313</v>
      </c>
      <c r="G36" s="176">
        <f>SUM(C36:F36)</f>
        <v>1422</v>
      </c>
      <c r="H36" s="151" t="e">
        <f>#REF!</f>
        <v>#REF!</v>
      </c>
      <c r="I36" s="216"/>
      <c r="J36" s="165">
        <v>504</v>
      </c>
      <c r="K36" s="165">
        <v>132</v>
      </c>
      <c r="L36" s="165">
        <v>1795</v>
      </c>
      <c r="M36" s="200" t="s">
        <v>96</v>
      </c>
      <c r="N36" s="130"/>
      <c r="O36" s="160"/>
      <c r="P36" s="162" t="s">
        <v>90</v>
      </c>
      <c r="Q36" s="165" t="s">
        <v>90</v>
      </c>
      <c r="R36" s="165" t="s">
        <v>90</v>
      </c>
      <c r="S36" s="165" t="s">
        <v>90</v>
      </c>
      <c r="T36" s="165" t="s">
        <v>90</v>
      </c>
      <c r="U36" s="168">
        <f t="shared" si="1"/>
        <v>0</v>
      </c>
      <c r="V36" s="162"/>
      <c r="W36" s="167"/>
      <c r="X36" s="25"/>
      <c r="Y36" s="177">
        <f t="shared" si="0"/>
        <v>1422</v>
      </c>
      <c r="Z36" s="153"/>
    </row>
    <row r="37" spans="1:26" hidden="1" x14ac:dyDescent="0.3">
      <c r="A37" s="748"/>
      <c r="B37" s="42" t="s">
        <v>126</v>
      </c>
      <c r="C37" s="79">
        <f>'IBS Action Plan 20170131'!C37</f>
        <v>0</v>
      </c>
      <c r="D37" s="165">
        <v>0</v>
      </c>
      <c r="E37" s="165">
        <v>0</v>
      </c>
      <c r="F37" s="179">
        <v>0</v>
      </c>
      <c r="G37" s="176">
        <v>0</v>
      </c>
      <c r="H37" s="151" t="e">
        <f>#REF!</f>
        <v>#REF!</v>
      </c>
      <c r="I37" s="216"/>
      <c r="J37" s="165">
        <v>0</v>
      </c>
      <c r="K37" s="165" t="s">
        <v>90</v>
      </c>
      <c r="L37" s="165" t="s">
        <v>94</v>
      </c>
      <c r="M37" s="200"/>
      <c r="N37" s="130"/>
      <c r="O37" s="160"/>
      <c r="P37" s="162" t="s">
        <v>90</v>
      </c>
      <c r="Q37" s="165" t="s">
        <v>90</v>
      </c>
      <c r="R37" s="165" t="s">
        <v>90</v>
      </c>
      <c r="S37" s="165">
        <v>37</v>
      </c>
      <c r="T37" s="165" t="s">
        <v>90</v>
      </c>
      <c r="U37" s="168">
        <f t="shared" si="1"/>
        <v>37</v>
      </c>
      <c r="V37" s="162"/>
      <c r="W37" s="167"/>
      <c r="X37" s="25" t="s">
        <v>116</v>
      </c>
      <c r="Y37" s="177">
        <f t="shared" si="0"/>
        <v>37</v>
      </c>
      <c r="Z37" s="153"/>
    </row>
    <row r="38" spans="1:26" hidden="1" x14ac:dyDescent="0.3">
      <c r="A38" s="748"/>
      <c r="B38" s="42" t="s">
        <v>20</v>
      </c>
      <c r="C38" s="79">
        <f>'IBS Action Plan 20170131'!C38</f>
        <v>0</v>
      </c>
      <c r="D38" s="165">
        <v>0</v>
      </c>
      <c r="E38" s="165">
        <v>0</v>
      </c>
      <c r="F38" s="179">
        <v>94</v>
      </c>
      <c r="G38" s="176">
        <f t="shared" ref="G38:G44" si="2">SUM(C38:F38)</f>
        <v>94</v>
      </c>
      <c r="H38" s="151" t="e">
        <f>#REF!</f>
        <v>#REF!</v>
      </c>
      <c r="I38" s="216"/>
      <c r="J38" s="165">
        <v>0</v>
      </c>
      <c r="K38" s="165">
        <v>53</v>
      </c>
      <c r="L38" s="165">
        <v>41</v>
      </c>
      <c r="M38" s="200" t="s">
        <v>97</v>
      </c>
      <c r="N38" s="130"/>
      <c r="O38" s="160"/>
      <c r="P38" s="162" t="s">
        <v>90</v>
      </c>
      <c r="Q38" s="165" t="s">
        <v>90</v>
      </c>
      <c r="R38" s="165">
        <v>2</v>
      </c>
      <c r="S38" s="165" t="s">
        <v>90</v>
      </c>
      <c r="T38" s="165" t="s">
        <v>90</v>
      </c>
      <c r="U38" s="168">
        <f t="shared" si="1"/>
        <v>2</v>
      </c>
      <c r="V38" s="162"/>
      <c r="W38" s="167"/>
      <c r="X38" s="25" t="s">
        <v>116</v>
      </c>
      <c r="Y38" s="177">
        <f t="shared" si="0"/>
        <v>96</v>
      </c>
      <c r="Z38" s="153"/>
    </row>
    <row r="39" spans="1:26" hidden="1" x14ac:dyDescent="0.3">
      <c r="A39" s="748"/>
      <c r="B39" s="42" t="s">
        <v>127</v>
      </c>
      <c r="C39" s="79">
        <f>'IBS Action Plan 20170131'!C39</f>
        <v>0</v>
      </c>
      <c r="D39" s="165">
        <v>26</v>
      </c>
      <c r="E39" s="165">
        <v>16</v>
      </c>
      <c r="F39" s="179">
        <v>485</v>
      </c>
      <c r="G39" s="176">
        <f t="shared" si="2"/>
        <v>527</v>
      </c>
      <c r="H39" s="151" t="e">
        <f>#REF!</f>
        <v>#REF!</v>
      </c>
      <c r="I39" s="216"/>
      <c r="J39" s="165">
        <v>340</v>
      </c>
      <c r="K39" s="165">
        <v>25</v>
      </c>
      <c r="L39" s="165">
        <v>842</v>
      </c>
      <c r="M39" s="200" t="s">
        <v>98</v>
      </c>
      <c r="N39" s="130"/>
      <c r="O39" s="160"/>
      <c r="P39" s="162" t="s">
        <v>90</v>
      </c>
      <c r="Q39" s="165">
        <v>173</v>
      </c>
      <c r="R39" s="165">
        <v>0</v>
      </c>
      <c r="S39" s="165">
        <v>35</v>
      </c>
      <c r="T39" s="165">
        <v>119</v>
      </c>
      <c r="U39" s="168">
        <f t="shared" si="1"/>
        <v>327</v>
      </c>
      <c r="V39" s="162"/>
      <c r="W39" s="167"/>
      <c r="X39" s="25" t="s">
        <v>115</v>
      </c>
      <c r="Y39" s="177">
        <f t="shared" si="0"/>
        <v>854</v>
      </c>
      <c r="Z39" s="153"/>
    </row>
    <row r="40" spans="1:26" hidden="1" x14ac:dyDescent="0.3">
      <c r="A40" s="752"/>
      <c r="B40" s="43" t="s">
        <v>128</v>
      </c>
      <c r="C40" s="79">
        <f>'IBS Action Plan 20170131'!C40</f>
        <v>0</v>
      </c>
      <c r="D40" s="164">
        <v>166</v>
      </c>
      <c r="E40" s="164">
        <v>132</v>
      </c>
      <c r="F40" s="186">
        <v>9</v>
      </c>
      <c r="G40" s="171">
        <f t="shared" si="2"/>
        <v>307</v>
      </c>
      <c r="H40" s="214" t="e">
        <f>#REF!</f>
        <v>#REF!</v>
      </c>
      <c r="I40" s="310"/>
      <c r="J40" s="164">
        <v>507</v>
      </c>
      <c r="K40" s="164">
        <v>5</v>
      </c>
      <c r="L40" s="164">
        <v>811</v>
      </c>
      <c r="M40" s="201" t="s">
        <v>93</v>
      </c>
      <c r="N40" s="130"/>
      <c r="O40" s="27"/>
      <c r="P40" s="78" t="s">
        <v>90</v>
      </c>
      <c r="Q40" s="164"/>
      <c r="R40" s="164" t="s">
        <v>90</v>
      </c>
      <c r="S40" s="164" t="s">
        <v>90</v>
      </c>
      <c r="T40" s="164" t="s">
        <v>90</v>
      </c>
      <c r="U40" s="90">
        <f t="shared" si="1"/>
        <v>0</v>
      </c>
      <c r="V40" s="78"/>
      <c r="W40" s="73"/>
      <c r="X40" s="26"/>
      <c r="Y40" s="110">
        <f t="shared" si="0"/>
        <v>307</v>
      </c>
      <c r="Z40" s="153"/>
    </row>
    <row r="41" spans="1:26" hidden="1" x14ac:dyDescent="0.3">
      <c r="A41" s="161" t="s">
        <v>14</v>
      </c>
      <c r="B41" s="60" t="s">
        <v>170</v>
      </c>
      <c r="C41" s="79">
        <f>'IBS Action Plan 20170131'!C41</f>
        <v>0</v>
      </c>
      <c r="D41" s="163">
        <f>SUM(D30:D40)</f>
        <v>336</v>
      </c>
      <c r="E41" s="163">
        <f t="shared" ref="E41:F41" si="3">SUM(E30:E40)</f>
        <v>1617</v>
      </c>
      <c r="F41" s="180">
        <f t="shared" si="3"/>
        <v>7736</v>
      </c>
      <c r="G41" s="163">
        <f t="shared" si="2"/>
        <v>9689</v>
      </c>
      <c r="H41" s="217" t="e">
        <f>#REF!</f>
        <v>#REF!</v>
      </c>
      <c r="I41" s="217"/>
      <c r="J41" s="163">
        <f t="shared" ref="J41" si="4">SUM(J30:J40)</f>
        <v>2644</v>
      </c>
      <c r="K41" s="163">
        <f>SUM(K30:K40)</f>
        <v>2336</v>
      </c>
      <c r="L41" s="163">
        <f>SUM(L30:L40)</f>
        <v>10000</v>
      </c>
      <c r="M41" s="202"/>
      <c r="N41" s="130"/>
      <c r="O41" s="48" t="s">
        <v>90</v>
      </c>
      <c r="P41" s="72">
        <f>SUM(P30:P40)</f>
        <v>0</v>
      </c>
      <c r="Q41" s="163">
        <f>SUM(Q30:Q40)</f>
        <v>173</v>
      </c>
      <c r="R41" s="163">
        <f t="shared" ref="R41:S41" si="5">SUM(R30:R40)</f>
        <v>2</v>
      </c>
      <c r="S41" s="163">
        <f t="shared" si="5"/>
        <v>72</v>
      </c>
      <c r="T41" s="163">
        <f>SUM(T30:T40)</f>
        <v>217</v>
      </c>
      <c r="U41" s="75">
        <f t="shared" si="1"/>
        <v>464</v>
      </c>
      <c r="V41" s="72">
        <f>SUM(V30:V40)</f>
        <v>0</v>
      </c>
      <c r="W41" s="75">
        <f>SUM(W30:W40)</f>
        <v>0</v>
      </c>
      <c r="X41" s="49"/>
      <c r="Y41" s="114">
        <f t="shared" si="0"/>
        <v>10153</v>
      </c>
      <c r="Z41" s="153"/>
    </row>
    <row r="42" spans="1:26" hidden="1" x14ac:dyDescent="0.3">
      <c r="A42" s="747" t="s">
        <v>157</v>
      </c>
      <c r="B42" s="159" t="s">
        <v>159</v>
      </c>
      <c r="C42" s="79">
        <f>'IBS Action Plan 20170131'!C42</f>
        <v>0</v>
      </c>
      <c r="D42" s="165">
        <v>0</v>
      </c>
      <c r="E42" s="165">
        <v>0</v>
      </c>
      <c r="F42" s="179">
        <v>19</v>
      </c>
      <c r="G42" s="176">
        <f t="shared" si="2"/>
        <v>19</v>
      </c>
      <c r="H42" s="216" t="e">
        <f>#REF!</f>
        <v>#REF!</v>
      </c>
      <c r="I42" s="216"/>
      <c r="J42" s="165">
        <v>0</v>
      </c>
      <c r="K42" s="165" t="s">
        <v>163</v>
      </c>
      <c r="L42" s="165">
        <v>19</v>
      </c>
      <c r="M42" s="200" t="s">
        <v>165</v>
      </c>
      <c r="N42" s="157"/>
      <c r="O42" s="160"/>
      <c r="P42" s="162" t="s">
        <v>90</v>
      </c>
      <c r="Q42" s="165" t="s">
        <v>90</v>
      </c>
      <c r="R42" s="165" t="s">
        <v>108</v>
      </c>
      <c r="S42" s="165" t="s">
        <v>90</v>
      </c>
      <c r="T42" s="165" t="s">
        <v>90</v>
      </c>
      <c r="U42" s="168">
        <f t="shared" si="1"/>
        <v>0</v>
      </c>
      <c r="V42" s="162"/>
      <c r="W42" s="167"/>
      <c r="X42" s="169"/>
      <c r="Y42" s="177">
        <f t="shared" si="0"/>
        <v>19</v>
      </c>
      <c r="Z42" s="153"/>
    </row>
    <row r="43" spans="1:26" hidden="1" x14ac:dyDescent="0.3">
      <c r="A43" s="712"/>
      <c r="B43" s="159" t="s">
        <v>160</v>
      </c>
      <c r="C43" s="79">
        <f>'IBS Action Plan 20170131'!C43</f>
        <v>0</v>
      </c>
      <c r="D43" s="165">
        <v>443</v>
      </c>
      <c r="E43" s="165">
        <v>383</v>
      </c>
      <c r="F43" s="179">
        <v>3308</v>
      </c>
      <c r="G43" s="176">
        <f t="shared" si="2"/>
        <v>4134</v>
      </c>
      <c r="H43" s="151" t="e">
        <f>#REF!</f>
        <v>#REF!</v>
      </c>
      <c r="I43" s="216"/>
      <c r="J43" s="165">
        <v>2048</v>
      </c>
      <c r="K43" s="165">
        <v>693</v>
      </c>
      <c r="L43" s="165">
        <v>5489</v>
      </c>
      <c r="M43" s="200" t="s">
        <v>166</v>
      </c>
      <c r="N43" s="157"/>
      <c r="O43" s="160"/>
      <c r="P43" s="162" t="s">
        <v>90</v>
      </c>
      <c r="Q43" s="165" t="s">
        <v>90</v>
      </c>
      <c r="R43" s="165" t="s">
        <v>108</v>
      </c>
      <c r="S43" s="165" t="s">
        <v>90</v>
      </c>
      <c r="T43" s="165" t="s">
        <v>90</v>
      </c>
      <c r="U43" s="168">
        <f t="shared" si="1"/>
        <v>0</v>
      </c>
      <c r="V43" s="162"/>
      <c r="W43" s="167"/>
      <c r="X43" s="169"/>
      <c r="Y43" s="177">
        <f t="shared" si="0"/>
        <v>4134</v>
      </c>
      <c r="Z43" s="153"/>
    </row>
    <row r="44" spans="1:26" hidden="1" x14ac:dyDescent="0.3">
      <c r="A44" s="712"/>
      <c r="B44" s="159" t="s">
        <v>161</v>
      </c>
      <c r="C44" s="79">
        <f>'IBS Action Plan 20170131'!C44</f>
        <v>0</v>
      </c>
      <c r="D44" s="165">
        <v>70</v>
      </c>
      <c r="E44" s="165">
        <v>439</v>
      </c>
      <c r="F44" s="179">
        <v>444</v>
      </c>
      <c r="G44" s="176">
        <f t="shared" si="2"/>
        <v>953</v>
      </c>
      <c r="H44" s="151" t="e">
        <f>#REF!</f>
        <v>#REF!</v>
      </c>
      <c r="I44" s="216"/>
      <c r="J44" s="165">
        <v>414</v>
      </c>
      <c r="K44" s="165">
        <v>94</v>
      </c>
      <c r="L44" s="165">
        <v>1273</v>
      </c>
      <c r="M44" s="200" t="s">
        <v>60</v>
      </c>
      <c r="N44" s="157"/>
      <c r="O44" s="160"/>
      <c r="P44" s="162" t="s">
        <v>90</v>
      </c>
      <c r="Q44" s="165" t="s">
        <v>90</v>
      </c>
      <c r="R44" s="165" t="s">
        <v>108</v>
      </c>
      <c r="S44" s="165" t="s">
        <v>90</v>
      </c>
      <c r="T44" s="165" t="s">
        <v>90</v>
      </c>
      <c r="U44" s="168">
        <f t="shared" si="1"/>
        <v>0</v>
      </c>
      <c r="V44" s="162"/>
      <c r="W44" s="167"/>
      <c r="X44" s="169"/>
      <c r="Y44" s="177">
        <f t="shared" si="0"/>
        <v>953</v>
      </c>
      <c r="Z44" s="153"/>
    </row>
    <row r="45" spans="1:26" hidden="1" x14ac:dyDescent="0.3">
      <c r="A45" s="712"/>
      <c r="B45" s="159" t="s">
        <v>162</v>
      </c>
      <c r="C45" s="79">
        <f>'IBS Action Plan 20170131'!C45</f>
        <v>0</v>
      </c>
      <c r="D45" s="165">
        <v>0</v>
      </c>
      <c r="E45" s="165">
        <v>0</v>
      </c>
      <c r="F45" s="179">
        <v>0</v>
      </c>
      <c r="G45" s="176">
        <v>0</v>
      </c>
      <c r="H45" s="151" t="e">
        <f>#REF!</f>
        <v>#REF!</v>
      </c>
      <c r="I45" s="216"/>
      <c r="J45" s="165">
        <v>421</v>
      </c>
      <c r="K45" s="165" t="s">
        <v>163</v>
      </c>
      <c r="L45" s="165">
        <v>421</v>
      </c>
      <c r="M45" s="200" t="s">
        <v>167</v>
      </c>
      <c r="N45" s="157"/>
      <c r="O45" s="160"/>
      <c r="P45" s="162" t="s">
        <v>90</v>
      </c>
      <c r="Q45" s="165" t="s">
        <v>90</v>
      </c>
      <c r="R45" s="165" t="s">
        <v>108</v>
      </c>
      <c r="S45" s="165" t="s">
        <v>90</v>
      </c>
      <c r="T45" s="165" t="s">
        <v>90</v>
      </c>
      <c r="U45" s="168">
        <f t="shared" si="1"/>
        <v>0</v>
      </c>
      <c r="V45" s="162"/>
      <c r="W45" s="167"/>
      <c r="X45" s="169"/>
      <c r="Y45" s="177">
        <f t="shared" si="0"/>
        <v>0</v>
      </c>
      <c r="Z45" s="153"/>
    </row>
    <row r="46" spans="1:26" ht="28.8" hidden="1" x14ac:dyDescent="0.3">
      <c r="A46" s="712"/>
      <c r="B46" s="159" t="s">
        <v>75</v>
      </c>
      <c r="C46" s="79">
        <f>'IBS Action Plan 20170131'!C46</f>
        <v>0</v>
      </c>
      <c r="D46" s="165">
        <v>0</v>
      </c>
      <c r="E46" s="165">
        <v>26</v>
      </c>
      <c r="F46" s="179">
        <v>1289</v>
      </c>
      <c r="G46" s="176">
        <f>SUM(C46:F46)</f>
        <v>1315</v>
      </c>
      <c r="H46" s="151" t="e">
        <f>#REF!</f>
        <v>#REF!</v>
      </c>
      <c r="I46" s="216"/>
      <c r="J46" s="165">
        <v>1202</v>
      </c>
      <c r="K46" s="165">
        <v>497</v>
      </c>
      <c r="L46" s="165">
        <v>2019</v>
      </c>
      <c r="M46" s="200" t="s">
        <v>144</v>
      </c>
      <c r="N46" s="157"/>
      <c r="O46" s="160" t="s">
        <v>134</v>
      </c>
      <c r="P46" s="162" t="s">
        <v>132</v>
      </c>
      <c r="Q46" s="165" t="s">
        <v>132</v>
      </c>
      <c r="R46" s="165">
        <v>9</v>
      </c>
      <c r="S46" s="165">
        <v>113</v>
      </c>
      <c r="T46" s="165">
        <v>233</v>
      </c>
      <c r="U46" s="168">
        <f t="shared" si="1"/>
        <v>355</v>
      </c>
      <c r="V46" s="162"/>
      <c r="W46" s="167"/>
      <c r="X46" s="169" t="s">
        <v>136</v>
      </c>
      <c r="Y46" s="177">
        <f t="shared" si="0"/>
        <v>1670</v>
      </c>
      <c r="Z46" s="153"/>
    </row>
    <row r="47" spans="1:26" hidden="1" x14ac:dyDescent="0.3">
      <c r="A47" s="712"/>
      <c r="B47" s="159" t="s">
        <v>76</v>
      </c>
      <c r="C47" s="79">
        <f>'IBS Action Plan 20170131'!C47</f>
        <v>0</v>
      </c>
      <c r="D47" s="165">
        <v>181</v>
      </c>
      <c r="E47" s="165">
        <v>1699</v>
      </c>
      <c r="F47" s="179">
        <v>3131</v>
      </c>
      <c r="G47" s="176">
        <f>SUM(C47:F47)</f>
        <v>5011</v>
      </c>
      <c r="H47" s="151" t="e">
        <f>#REF!</f>
        <v>#REF!</v>
      </c>
      <c r="I47" s="216"/>
      <c r="J47" s="165">
        <v>417</v>
      </c>
      <c r="K47" s="165">
        <v>1651</v>
      </c>
      <c r="L47" s="165">
        <v>3777</v>
      </c>
      <c r="M47" s="200" t="s">
        <v>145</v>
      </c>
      <c r="N47" s="157"/>
      <c r="O47" s="160" t="s">
        <v>134</v>
      </c>
      <c r="P47" s="162" t="s">
        <v>132</v>
      </c>
      <c r="Q47" s="165">
        <v>12</v>
      </c>
      <c r="R47" s="165">
        <v>392</v>
      </c>
      <c r="S47" s="165">
        <v>526</v>
      </c>
      <c r="T47" s="165">
        <v>75</v>
      </c>
      <c r="U47" s="168">
        <f t="shared" si="1"/>
        <v>1005</v>
      </c>
      <c r="V47" s="162"/>
      <c r="W47" s="167"/>
      <c r="X47" s="25" t="s">
        <v>137</v>
      </c>
      <c r="Y47" s="177">
        <f t="shared" si="0"/>
        <v>6016</v>
      </c>
      <c r="Z47" s="153"/>
    </row>
    <row r="48" spans="1:26" hidden="1" x14ac:dyDescent="0.3">
      <c r="A48" s="712"/>
      <c r="B48" s="159" t="s">
        <v>77</v>
      </c>
      <c r="C48" s="79">
        <f>'IBS Action Plan 20170131'!C48</f>
        <v>0</v>
      </c>
      <c r="D48" s="165">
        <v>0</v>
      </c>
      <c r="E48" s="165">
        <v>0</v>
      </c>
      <c r="F48" s="179">
        <v>366</v>
      </c>
      <c r="G48" s="176">
        <f>SUM(C48:F48)</f>
        <v>366</v>
      </c>
      <c r="H48" s="151" t="e">
        <f>#REF!</f>
        <v>#REF!</v>
      </c>
      <c r="I48" s="216"/>
      <c r="J48" s="165">
        <v>3</v>
      </c>
      <c r="K48" s="165" t="s">
        <v>132</v>
      </c>
      <c r="L48" s="165">
        <v>370</v>
      </c>
      <c r="M48" s="200" t="s">
        <v>146</v>
      </c>
      <c r="N48" s="157"/>
      <c r="O48" s="160"/>
      <c r="P48" s="162" t="s">
        <v>132</v>
      </c>
      <c r="Q48" s="165" t="s">
        <v>132</v>
      </c>
      <c r="R48" s="165" t="s">
        <v>132</v>
      </c>
      <c r="S48" s="165" t="s">
        <v>132</v>
      </c>
      <c r="T48" s="165" t="s">
        <v>132</v>
      </c>
      <c r="U48" s="168">
        <f t="shared" si="1"/>
        <v>0</v>
      </c>
      <c r="V48" s="162"/>
      <c r="W48" s="167"/>
      <c r="X48" s="25"/>
      <c r="Y48" s="177">
        <f t="shared" si="0"/>
        <v>366</v>
      </c>
      <c r="Z48" s="153"/>
    </row>
    <row r="49" spans="1:26" hidden="1" x14ac:dyDescent="0.3">
      <c r="A49" s="712"/>
      <c r="B49" s="159" t="s">
        <v>78</v>
      </c>
      <c r="C49" s="79">
        <f>'IBS Action Plan 20170131'!C49</f>
        <v>0</v>
      </c>
      <c r="D49" s="165">
        <v>0</v>
      </c>
      <c r="E49" s="165">
        <v>0</v>
      </c>
      <c r="F49" s="179">
        <v>21</v>
      </c>
      <c r="G49" s="176">
        <f>SUM(C49:F49)</f>
        <v>21</v>
      </c>
      <c r="H49" s="151" t="e">
        <f>#REF!</f>
        <v>#REF!</v>
      </c>
      <c r="I49" s="216"/>
      <c r="J49" s="165">
        <v>191</v>
      </c>
      <c r="K49" s="165" t="s">
        <v>132</v>
      </c>
      <c r="L49" s="165">
        <v>212</v>
      </c>
      <c r="M49" s="200" t="s">
        <v>147</v>
      </c>
      <c r="N49" s="157"/>
      <c r="O49" s="160"/>
      <c r="P49" s="162" t="s">
        <v>132</v>
      </c>
      <c r="Q49" s="165" t="s">
        <v>132</v>
      </c>
      <c r="R49" s="165" t="s">
        <v>132</v>
      </c>
      <c r="S49" s="165" t="s">
        <v>132</v>
      </c>
      <c r="T49" s="165" t="s">
        <v>132</v>
      </c>
      <c r="U49" s="168">
        <f t="shared" si="1"/>
        <v>0</v>
      </c>
      <c r="V49" s="162"/>
      <c r="W49" s="167"/>
      <c r="X49" s="25"/>
      <c r="Y49" s="177">
        <f t="shared" si="0"/>
        <v>21</v>
      </c>
      <c r="Z49" s="153"/>
    </row>
    <row r="50" spans="1:26" hidden="1" x14ac:dyDescent="0.3">
      <c r="A50" s="712"/>
      <c r="B50" s="104" t="s">
        <v>79</v>
      </c>
      <c r="C50" s="79">
        <f>'IBS Action Plan 20170131'!C50</f>
        <v>0</v>
      </c>
      <c r="D50" s="165">
        <v>0</v>
      </c>
      <c r="E50" s="165">
        <v>0</v>
      </c>
      <c r="F50" s="179">
        <v>0</v>
      </c>
      <c r="G50" s="176">
        <v>0</v>
      </c>
      <c r="H50" s="151" t="e">
        <f>#REF!</f>
        <v>#REF!</v>
      </c>
      <c r="I50" s="216"/>
      <c r="J50" s="165">
        <v>59</v>
      </c>
      <c r="K50" s="165">
        <v>2</v>
      </c>
      <c r="L50" s="165">
        <v>57</v>
      </c>
      <c r="M50" s="200" t="s">
        <v>148</v>
      </c>
      <c r="N50" s="157"/>
      <c r="O50" s="160"/>
      <c r="P50" s="162" t="s">
        <v>132</v>
      </c>
      <c r="Q50" s="165" t="s">
        <v>132</v>
      </c>
      <c r="R50" s="165" t="s">
        <v>132</v>
      </c>
      <c r="S50" s="165" t="s">
        <v>132</v>
      </c>
      <c r="T50" s="165" t="s">
        <v>132</v>
      </c>
      <c r="U50" s="168">
        <f t="shared" si="1"/>
        <v>0</v>
      </c>
      <c r="V50" s="162"/>
      <c r="W50" s="167"/>
      <c r="X50" s="51"/>
      <c r="Y50" s="177">
        <f t="shared" si="0"/>
        <v>0</v>
      </c>
      <c r="Z50" s="153"/>
    </row>
    <row r="51" spans="1:26" hidden="1" x14ac:dyDescent="0.3">
      <c r="A51" s="712"/>
      <c r="B51" s="104" t="s">
        <v>80</v>
      </c>
      <c r="C51" s="79">
        <f>'IBS Action Plan 20170131'!C51</f>
        <v>0</v>
      </c>
      <c r="D51" s="165">
        <v>0</v>
      </c>
      <c r="E51" s="165">
        <v>0</v>
      </c>
      <c r="F51" s="179">
        <v>37</v>
      </c>
      <c r="G51" s="176">
        <f t="shared" ref="G51:G72" si="6">SUM(C51:F51)</f>
        <v>37</v>
      </c>
      <c r="H51" s="151" t="e">
        <f>#REF!</f>
        <v>#REF!</v>
      </c>
      <c r="I51" s="216"/>
      <c r="J51" s="165">
        <v>27</v>
      </c>
      <c r="K51" s="165" t="s">
        <v>132</v>
      </c>
      <c r="L51" s="165">
        <v>64</v>
      </c>
      <c r="M51" s="200" t="s">
        <v>149</v>
      </c>
      <c r="N51" s="157"/>
      <c r="O51" s="160"/>
      <c r="P51" s="162" t="s">
        <v>132</v>
      </c>
      <c r="Q51" s="165" t="s">
        <v>132</v>
      </c>
      <c r="R51" s="165" t="s">
        <v>132</v>
      </c>
      <c r="S51" s="165" t="s">
        <v>132</v>
      </c>
      <c r="T51" s="165" t="s">
        <v>132</v>
      </c>
      <c r="U51" s="168">
        <f t="shared" si="1"/>
        <v>0</v>
      </c>
      <c r="V51" s="162"/>
      <c r="W51" s="167"/>
      <c r="X51" s="25"/>
      <c r="Y51" s="177">
        <f t="shared" si="0"/>
        <v>37</v>
      </c>
      <c r="Z51" s="153"/>
    </row>
    <row r="52" spans="1:26" hidden="1" x14ac:dyDescent="0.3">
      <c r="A52" s="712"/>
      <c r="B52" s="159" t="s">
        <v>81</v>
      </c>
      <c r="C52" s="79">
        <f>'IBS Action Plan 20170131'!C52</f>
        <v>59</v>
      </c>
      <c r="D52" s="165">
        <v>29</v>
      </c>
      <c r="E52" s="165">
        <v>73</v>
      </c>
      <c r="F52" s="179">
        <v>440</v>
      </c>
      <c r="G52" s="176">
        <f t="shared" si="6"/>
        <v>601</v>
      </c>
      <c r="H52" s="151" t="e">
        <f>#REF!</f>
        <v>#REF!</v>
      </c>
      <c r="I52" s="216"/>
      <c r="J52" s="165">
        <v>24</v>
      </c>
      <c r="K52" s="165">
        <v>5</v>
      </c>
      <c r="L52" s="165">
        <v>620</v>
      </c>
      <c r="M52" s="200" t="s">
        <v>149</v>
      </c>
      <c r="N52" s="157"/>
      <c r="O52" s="160"/>
      <c r="P52" s="162" t="s">
        <v>132</v>
      </c>
      <c r="Q52" s="165" t="s">
        <v>132</v>
      </c>
      <c r="R52" s="165" t="s">
        <v>132</v>
      </c>
      <c r="S52" s="165" t="s">
        <v>132</v>
      </c>
      <c r="T52" s="165" t="s">
        <v>132</v>
      </c>
      <c r="U52" s="168">
        <f t="shared" si="1"/>
        <v>0</v>
      </c>
      <c r="V52" s="162"/>
      <c r="W52" s="167"/>
      <c r="X52" s="25"/>
      <c r="Y52" s="177">
        <f t="shared" si="0"/>
        <v>601</v>
      </c>
      <c r="Z52" s="153"/>
    </row>
    <row r="53" spans="1:26" hidden="1" x14ac:dyDescent="0.3">
      <c r="A53" s="712"/>
      <c r="B53" s="104" t="s">
        <v>82</v>
      </c>
      <c r="C53" s="79">
        <f>'IBS Action Plan 20170131'!C53</f>
        <v>0</v>
      </c>
      <c r="D53" s="165">
        <v>0</v>
      </c>
      <c r="E53" s="165">
        <v>0</v>
      </c>
      <c r="F53" s="179">
        <v>0</v>
      </c>
      <c r="G53" s="176">
        <f t="shared" si="6"/>
        <v>0</v>
      </c>
      <c r="H53" s="151" t="e">
        <f>#REF!</f>
        <v>#REF!</v>
      </c>
      <c r="I53" s="216"/>
      <c r="J53" s="165">
        <v>235</v>
      </c>
      <c r="K53" s="165">
        <v>29</v>
      </c>
      <c r="L53" s="165">
        <v>206</v>
      </c>
      <c r="M53" s="207" t="s">
        <v>113</v>
      </c>
      <c r="N53" s="157"/>
      <c r="O53" s="160"/>
      <c r="P53" s="162" t="s">
        <v>132</v>
      </c>
      <c r="Q53" s="165" t="s">
        <v>132</v>
      </c>
      <c r="R53" s="165" t="s">
        <v>132</v>
      </c>
      <c r="S53" s="165" t="s">
        <v>132</v>
      </c>
      <c r="T53" s="165" t="s">
        <v>132</v>
      </c>
      <c r="U53" s="168">
        <f t="shared" si="1"/>
        <v>0</v>
      </c>
      <c r="V53" s="162"/>
      <c r="W53" s="167"/>
      <c r="X53" s="25"/>
      <c r="Y53" s="177">
        <f t="shared" si="0"/>
        <v>0</v>
      </c>
      <c r="Z53" s="153"/>
    </row>
    <row r="54" spans="1:26" hidden="1" x14ac:dyDescent="0.3">
      <c r="A54" s="712"/>
      <c r="B54" s="104" t="s">
        <v>83</v>
      </c>
      <c r="C54" s="79">
        <f>'IBS Action Plan 20170131'!C54</f>
        <v>0</v>
      </c>
      <c r="D54" s="165">
        <v>0</v>
      </c>
      <c r="E54" s="165">
        <v>50</v>
      </c>
      <c r="F54" s="179">
        <v>3747</v>
      </c>
      <c r="G54" s="176">
        <f t="shared" si="6"/>
        <v>3797</v>
      </c>
      <c r="H54" s="151" t="e">
        <f>#REF!</f>
        <v>#REF!</v>
      </c>
      <c r="I54" s="216"/>
      <c r="J54" s="165">
        <v>4179</v>
      </c>
      <c r="K54" s="165">
        <v>224</v>
      </c>
      <c r="L54" s="165">
        <v>7752</v>
      </c>
      <c r="M54" s="200" t="s">
        <v>150</v>
      </c>
      <c r="N54" s="157"/>
      <c r="O54" s="160" t="s">
        <v>135</v>
      </c>
      <c r="P54" s="162" t="s">
        <v>132</v>
      </c>
      <c r="Q54" s="165" t="s">
        <v>132</v>
      </c>
      <c r="R54" s="165">
        <v>0</v>
      </c>
      <c r="S54" s="165">
        <v>891</v>
      </c>
      <c r="T54" s="165">
        <v>1298</v>
      </c>
      <c r="U54" s="168">
        <f t="shared" si="1"/>
        <v>2189</v>
      </c>
      <c r="V54" s="162"/>
      <c r="W54" s="167"/>
      <c r="X54" s="25"/>
      <c r="Y54" s="177">
        <f t="shared" si="0"/>
        <v>5986</v>
      </c>
      <c r="Z54" s="153"/>
    </row>
    <row r="55" spans="1:26" hidden="1" x14ac:dyDescent="0.3">
      <c r="A55" s="712"/>
      <c r="B55" s="104" t="s">
        <v>84</v>
      </c>
      <c r="C55" s="79">
        <f>'IBS Action Plan 20170131'!C55</f>
        <v>0</v>
      </c>
      <c r="D55" s="165">
        <v>0</v>
      </c>
      <c r="E55" s="165">
        <v>1</v>
      </c>
      <c r="F55" s="179">
        <v>0</v>
      </c>
      <c r="G55" s="176">
        <f t="shared" si="6"/>
        <v>1</v>
      </c>
      <c r="H55" s="151" t="e">
        <f>#REF!</f>
        <v>#REF!</v>
      </c>
      <c r="I55" s="216"/>
      <c r="J55" s="165">
        <v>0</v>
      </c>
      <c r="K55" s="165" t="s">
        <v>132</v>
      </c>
      <c r="L55" s="165">
        <v>1</v>
      </c>
      <c r="M55" s="200" t="s">
        <v>151</v>
      </c>
      <c r="N55" s="157"/>
      <c r="O55" s="160" t="s">
        <v>134</v>
      </c>
      <c r="P55" s="162" t="s">
        <v>132</v>
      </c>
      <c r="Q55" s="165" t="s">
        <v>132</v>
      </c>
      <c r="R55" s="165">
        <v>14</v>
      </c>
      <c r="S55" s="165" t="s">
        <v>132</v>
      </c>
      <c r="T55" s="165">
        <v>16</v>
      </c>
      <c r="U55" s="168">
        <f t="shared" si="1"/>
        <v>30</v>
      </c>
      <c r="V55" s="162"/>
      <c r="W55" s="167"/>
      <c r="X55" s="25"/>
      <c r="Y55" s="177">
        <f t="shared" si="0"/>
        <v>31</v>
      </c>
      <c r="Z55" s="153"/>
    </row>
    <row r="56" spans="1:26" hidden="1" x14ac:dyDescent="0.3">
      <c r="A56" s="712"/>
      <c r="B56" s="104" t="s">
        <v>85</v>
      </c>
      <c r="C56" s="79">
        <f>'IBS Action Plan 20170131'!C56</f>
        <v>0</v>
      </c>
      <c r="D56" s="176">
        <v>0</v>
      </c>
      <c r="E56" s="176">
        <v>0</v>
      </c>
      <c r="F56" s="181">
        <v>15</v>
      </c>
      <c r="G56" s="176">
        <f t="shared" si="6"/>
        <v>15</v>
      </c>
      <c r="H56" s="151" t="e">
        <f>#REF!</f>
        <v>#REF!</v>
      </c>
      <c r="I56" s="151"/>
      <c r="J56" s="176">
        <v>293</v>
      </c>
      <c r="K56" s="176">
        <v>35</v>
      </c>
      <c r="L56" s="176">
        <v>273</v>
      </c>
      <c r="M56" s="196" t="s">
        <v>147</v>
      </c>
      <c r="N56" s="157"/>
      <c r="O56" s="103"/>
      <c r="P56" s="84" t="s">
        <v>132</v>
      </c>
      <c r="Q56" s="176" t="s">
        <v>132</v>
      </c>
      <c r="R56" s="176" t="s">
        <v>132</v>
      </c>
      <c r="S56" s="176" t="s">
        <v>132</v>
      </c>
      <c r="T56" s="176" t="s">
        <v>132</v>
      </c>
      <c r="U56" s="168">
        <f t="shared" si="1"/>
        <v>0</v>
      </c>
      <c r="V56" s="84"/>
      <c r="W56" s="168"/>
      <c r="X56" s="51"/>
      <c r="Y56" s="177">
        <f t="shared" si="0"/>
        <v>15</v>
      </c>
      <c r="Z56" s="153"/>
    </row>
    <row r="57" spans="1:26" hidden="1" x14ac:dyDescent="0.3">
      <c r="A57" s="712"/>
      <c r="B57" s="104" t="s">
        <v>86</v>
      </c>
      <c r="C57" s="79">
        <f>'IBS Action Plan 20170131'!C57</f>
        <v>0</v>
      </c>
      <c r="D57" s="176">
        <v>0</v>
      </c>
      <c r="E57" s="176">
        <v>0</v>
      </c>
      <c r="F57" s="181">
        <v>663</v>
      </c>
      <c r="G57" s="176">
        <f t="shared" si="6"/>
        <v>663</v>
      </c>
      <c r="H57" s="151" t="e">
        <f>#REF!</f>
        <v>#REF!</v>
      </c>
      <c r="I57" s="151"/>
      <c r="J57" s="176">
        <v>1036</v>
      </c>
      <c r="K57" s="176">
        <v>12</v>
      </c>
      <c r="L57" s="176">
        <v>1687</v>
      </c>
      <c r="M57" s="196" t="s">
        <v>149</v>
      </c>
      <c r="N57" s="157"/>
      <c r="O57" s="103"/>
      <c r="P57" s="84" t="s">
        <v>132</v>
      </c>
      <c r="Q57" s="176" t="s">
        <v>132</v>
      </c>
      <c r="R57" s="176" t="s">
        <v>132</v>
      </c>
      <c r="S57" s="176" t="s">
        <v>132</v>
      </c>
      <c r="T57" s="176" t="s">
        <v>132</v>
      </c>
      <c r="U57" s="168">
        <f t="shared" si="1"/>
        <v>0</v>
      </c>
      <c r="V57" s="84"/>
      <c r="W57" s="168"/>
      <c r="X57" s="51"/>
      <c r="Y57" s="177">
        <f t="shared" si="0"/>
        <v>663</v>
      </c>
      <c r="Z57" s="153"/>
    </row>
    <row r="58" spans="1:26" hidden="1" x14ac:dyDescent="0.3">
      <c r="A58" s="753"/>
      <c r="B58" s="104" t="s">
        <v>87</v>
      </c>
      <c r="C58" s="79">
        <f>'IBS Action Plan 20170131'!C58</f>
        <v>0</v>
      </c>
      <c r="D58" s="176">
        <v>0</v>
      </c>
      <c r="E58" s="176">
        <v>0</v>
      </c>
      <c r="F58" s="181">
        <v>35</v>
      </c>
      <c r="G58" s="171">
        <f t="shared" si="6"/>
        <v>35</v>
      </c>
      <c r="H58" s="214" t="e">
        <f>#REF!</f>
        <v>#REF!</v>
      </c>
      <c r="I58" s="214"/>
      <c r="J58" s="176">
        <v>6</v>
      </c>
      <c r="K58" s="176" t="s">
        <v>132</v>
      </c>
      <c r="L58" s="176">
        <v>41</v>
      </c>
      <c r="M58" s="208" t="s">
        <v>152</v>
      </c>
      <c r="N58" s="157"/>
      <c r="O58" s="103"/>
      <c r="P58" s="84" t="s">
        <v>132</v>
      </c>
      <c r="Q58" s="176" t="s">
        <v>132</v>
      </c>
      <c r="R58" s="176" t="s">
        <v>132</v>
      </c>
      <c r="S58" s="176" t="s">
        <v>132</v>
      </c>
      <c r="T58" s="176" t="s">
        <v>132</v>
      </c>
      <c r="U58" s="90">
        <f t="shared" si="1"/>
        <v>0</v>
      </c>
      <c r="V58" s="84"/>
      <c r="W58" s="168"/>
      <c r="X58" s="51"/>
      <c r="Y58" s="110">
        <f t="shared" si="0"/>
        <v>35</v>
      </c>
      <c r="Z58" s="153"/>
    </row>
    <row r="59" spans="1:26" hidden="1" x14ac:dyDescent="0.3">
      <c r="A59" s="158" t="s">
        <v>14</v>
      </c>
      <c r="B59" s="61" t="s">
        <v>169</v>
      </c>
      <c r="C59" s="79">
        <f>'IBS Action Plan 20170131'!C59</f>
        <v>59</v>
      </c>
      <c r="D59" s="175">
        <f>SUM(D42:D58)</f>
        <v>723</v>
      </c>
      <c r="E59" s="175">
        <f>SUM(E42:E58)</f>
        <v>2671</v>
      </c>
      <c r="F59" s="192">
        <f>SUM(F42:F58)</f>
        <v>13515</v>
      </c>
      <c r="G59" s="163">
        <f t="shared" si="6"/>
        <v>16968</v>
      </c>
      <c r="H59" s="217" t="e">
        <f>#REF!</f>
        <v>#REF!</v>
      </c>
      <c r="I59" s="217"/>
      <c r="J59" s="175">
        <f>SUM(J42:J58)</f>
        <v>10555</v>
      </c>
      <c r="K59" s="175">
        <f>SUM(K42:K58)</f>
        <v>3242</v>
      </c>
      <c r="L59" s="175">
        <f>SUM(L42:L58)</f>
        <v>24281</v>
      </c>
      <c r="M59" s="206"/>
      <c r="N59" s="157"/>
      <c r="O59" s="21"/>
      <c r="P59" s="87">
        <f>SUM(P42:P58)</f>
        <v>0</v>
      </c>
      <c r="Q59" s="175">
        <f>SUM(Q42:Q58)</f>
        <v>12</v>
      </c>
      <c r="R59" s="175">
        <f>SUM(R42:R58)</f>
        <v>415</v>
      </c>
      <c r="S59" s="175">
        <f>SUM(S42:S58)</f>
        <v>1530</v>
      </c>
      <c r="T59" s="175">
        <f>SUM(T42:T58)</f>
        <v>1622</v>
      </c>
      <c r="U59" s="75">
        <f>SUM(P59:T59)</f>
        <v>3579</v>
      </c>
      <c r="V59" s="87">
        <f>SUM(V42:V58)</f>
        <v>0</v>
      </c>
      <c r="W59" s="105">
        <f>SUM(W42:W58)</f>
        <v>0</v>
      </c>
      <c r="X59" s="19">
        <f>SUM(X42:X58)</f>
        <v>0</v>
      </c>
      <c r="Y59" s="114">
        <f t="shared" si="0"/>
        <v>20547</v>
      </c>
      <c r="Z59" s="35"/>
    </row>
    <row r="60" spans="1:26" hidden="1" x14ac:dyDescent="0.3">
      <c r="A60" s="744" t="s">
        <v>9</v>
      </c>
      <c r="B60" s="159" t="s">
        <v>6</v>
      </c>
      <c r="C60" s="79">
        <f>'IBS Action Plan 20170131'!C60</f>
        <v>44</v>
      </c>
      <c r="D60" s="165">
        <v>805</v>
      </c>
      <c r="E60" s="165">
        <v>2236</v>
      </c>
      <c r="F60" s="179">
        <v>3023</v>
      </c>
      <c r="G60" s="165">
        <f t="shared" si="6"/>
        <v>6108</v>
      </c>
      <c r="H60" s="216" t="e">
        <f>#REF!</f>
        <v>#REF!</v>
      </c>
      <c r="I60" s="216"/>
      <c r="J60" s="165">
        <v>149</v>
      </c>
      <c r="K60" s="165">
        <v>138</v>
      </c>
      <c r="L60" s="165">
        <f>C60+D60+E60+F60+J60-K60</f>
        <v>6119</v>
      </c>
      <c r="M60" s="200" t="s">
        <v>109</v>
      </c>
      <c r="N60" s="157"/>
      <c r="O60" s="160"/>
      <c r="P60" s="162">
        <v>0</v>
      </c>
      <c r="Q60" s="165">
        <v>0</v>
      </c>
      <c r="R60" s="165">
        <v>0</v>
      </c>
      <c r="S60" s="165">
        <v>0</v>
      </c>
      <c r="T60" s="165">
        <v>0</v>
      </c>
      <c r="U60" s="167">
        <f t="shared" si="1"/>
        <v>0</v>
      </c>
      <c r="V60" s="162">
        <v>0</v>
      </c>
      <c r="W60" s="167"/>
      <c r="X60" s="25"/>
      <c r="Y60" s="113">
        <f t="shared" si="0"/>
        <v>6108</v>
      </c>
      <c r="Z60" s="153"/>
    </row>
    <row r="61" spans="1:26" hidden="1" x14ac:dyDescent="0.3">
      <c r="A61" s="745"/>
      <c r="B61" s="29" t="s">
        <v>38</v>
      </c>
      <c r="C61" s="79">
        <f>'IBS Action Plan 20170131'!C61</f>
        <v>117</v>
      </c>
      <c r="D61" s="176">
        <v>17</v>
      </c>
      <c r="E61" s="176">
        <v>128</v>
      </c>
      <c r="F61" s="181">
        <v>169</v>
      </c>
      <c r="G61" s="176">
        <f t="shared" si="6"/>
        <v>431</v>
      </c>
      <c r="H61" s="151" t="e">
        <f>#REF!</f>
        <v>#REF!</v>
      </c>
      <c r="I61" s="151"/>
      <c r="J61" s="176">
        <v>36</v>
      </c>
      <c r="K61" s="176">
        <v>5</v>
      </c>
      <c r="L61" s="165">
        <f t="shared" ref="L61:L71" si="7">C61+D61+E61+F61+J61-K61</f>
        <v>462</v>
      </c>
      <c r="M61" s="196" t="s">
        <v>109</v>
      </c>
      <c r="N61" s="157"/>
      <c r="O61" s="9"/>
      <c r="P61" s="84">
        <v>0</v>
      </c>
      <c r="Q61" s="176">
        <v>0</v>
      </c>
      <c r="R61" s="176">
        <v>0</v>
      </c>
      <c r="S61" s="176">
        <v>0</v>
      </c>
      <c r="T61" s="176">
        <v>0</v>
      </c>
      <c r="U61" s="168">
        <f t="shared" si="1"/>
        <v>0</v>
      </c>
      <c r="V61" s="84">
        <v>0</v>
      </c>
      <c r="W61" s="168"/>
      <c r="X61" s="51"/>
      <c r="Y61" s="177">
        <f t="shared" si="0"/>
        <v>431</v>
      </c>
      <c r="Z61" s="153"/>
    </row>
    <row r="62" spans="1:26" hidden="1" x14ac:dyDescent="0.3">
      <c r="A62" s="745"/>
      <c r="B62" s="42" t="s">
        <v>19</v>
      </c>
      <c r="C62" s="79">
        <f>'IBS Action Plan 20170131'!C62</f>
        <v>0</v>
      </c>
      <c r="D62" s="176">
        <v>40</v>
      </c>
      <c r="E62" s="176">
        <f>254+24</f>
        <v>278</v>
      </c>
      <c r="F62" s="181">
        <f>1025+310</f>
        <v>1335</v>
      </c>
      <c r="G62" s="176">
        <f t="shared" si="6"/>
        <v>1653</v>
      </c>
      <c r="H62" s="151" t="e">
        <f>#REF!</f>
        <v>#REF!</v>
      </c>
      <c r="I62" s="151"/>
      <c r="J62" s="176">
        <f>31+1</f>
        <v>32</v>
      </c>
      <c r="K62" s="176">
        <v>148</v>
      </c>
      <c r="L62" s="165">
        <f t="shared" si="7"/>
        <v>1537</v>
      </c>
      <c r="M62" s="196" t="s">
        <v>109</v>
      </c>
      <c r="N62" s="157"/>
      <c r="O62" s="103" t="s">
        <v>66</v>
      </c>
      <c r="P62" s="84">
        <v>0</v>
      </c>
      <c r="Q62" s="176">
        <v>0</v>
      </c>
      <c r="R62" s="176">
        <v>7</v>
      </c>
      <c r="S62" s="176">
        <v>67</v>
      </c>
      <c r="T62" s="176">
        <v>0</v>
      </c>
      <c r="U62" s="168">
        <f t="shared" si="1"/>
        <v>74</v>
      </c>
      <c r="V62" s="84">
        <v>8</v>
      </c>
      <c r="W62" s="168">
        <f>U62-V62</f>
        <v>66</v>
      </c>
      <c r="X62" s="51" t="s">
        <v>138</v>
      </c>
      <c r="Y62" s="177">
        <f t="shared" si="0"/>
        <v>1727</v>
      </c>
      <c r="Z62" s="153"/>
    </row>
    <row r="63" spans="1:26" hidden="1" x14ac:dyDescent="0.3">
      <c r="A63" s="745"/>
      <c r="B63" s="23" t="s">
        <v>20</v>
      </c>
      <c r="C63" s="79">
        <f>'IBS Action Plan 20170131'!C63</f>
        <v>0</v>
      </c>
      <c r="D63" s="174">
        <f>145+680</f>
        <v>825</v>
      </c>
      <c r="E63" s="174">
        <f>603+1725</f>
        <v>2328</v>
      </c>
      <c r="F63" s="193">
        <f>322+1919</f>
        <v>2241</v>
      </c>
      <c r="G63" s="176">
        <f t="shared" si="6"/>
        <v>5394</v>
      </c>
      <c r="H63" s="151" t="e">
        <f>#REF!</f>
        <v>#REF!</v>
      </c>
      <c r="I63" s="214"/>
      <c r="J63" s="174">
        <f>19+92</f>
        <v>111</v>
      </c>
      <c r="K63" s="174">
        <v>1286</v>
      </c>
      <c r="L63" s="165">
        <f t="shared" si="7"/>
        <v>4219</v>
      </c>
      <c r="M63" s="209" t="s">
        <v>110</v>
      </c>
      <c r="N63" s="157"/>
      <c r="O63" s="103" t="s">
        <v>66</v>
      </c>
      <c r="P63" s="84">
        <v>4</v>
      </c>
      <c r="Q63" s="176">
        <v>431</v>
      </c>
      <c r="R63" s="176">
        <v>1389</v>
      </c>
      <c r="S63" s="176">
        <v>2926</v>
      </c>
      <c r="T63" s="176">
        <v>18</v>
      </c>
      <c r="U63" s="168">
        <f t="shared" si="1"/>
        <v>4768</v>
      </c>
      <c r="V63" s="84">
        <v>2092</v>
      </c>
      <c r="W63" s="168">
        <f>U63-V63</f>
        <v>2676</v>
      </c>
      <c r="X63" s="51" t="s">
        <v>138</v>
      </c>
      <c r="Y63" s="177">
        <f t="shared" si="0"/>
        <v>10162</v>
      </c>
      <c r="Z63" s="153"/>
    </row>
    <row r="64" spans="1:26" hidden="1" x14ac:dyDescent="0.3">
      <c r="A64" s="745"/>
      <c r="B64" s="42" t="s">
        <v>27</v>
      </c>
      <c r="C64" s="79">
        <f>'IBS Action Plan 20170131'!C64</f>
        <v>0</v>
      </c>
      <c r="D64" s="176">
        <f>7+72</f>
        <v>79</v>
      </c>
      <c r="E64" s="176">
        <f>613+1068</f>
        <v>1681</v>
      </c>
      <c r="F64" s="181">
        <f>348+1025</f>
        <v>1373</v>
      </c>
      <c r="G64" s="176">
        <f t="shared" si="6"/>
        <v>3133</v>
      </c>
      <c r="H64" s="151" t="e">
        <f>#REF!</f>
        <v>#REF!</v>
      </c>
      <c r="I64" s="151"/>
      <c r="J64" s="176">
        <f>1+135</f>
        <v>136</v>
      </c>
      <c r="K64" s="176">
        <v>706</v>
      </c>
      <c r="L64" s="165">
        <f t="shared" si="7"/>
        <v>2563</v>
      </c>
      <c r="M64" s="196" t="s">
        <v>111</v>
      </c>
      <c r="N64" s="157"/>
      <c r="O64" s="103" t="s">
        <v>66</v>
      </c>
      <c r="P64" s="106">
        <v>0</v>
      </c>
      <c r="Q64" s="107">
        <v>38</v>
      </c>
      <c r="R64" s="107">
        <v>125</v>
      </c>
      <c r="S64" s="107">
        <v>352</v>
      </c>
      <c r="T64" s="107">
        <v>6</v>
      </c>
      <c r="U64" s="168">
        <f t="shared" si="1"/>
        <v>521</v>
      </c>
      <c r="V64" s="84">
        <v>205</v>
      </c>
      <c r="W64" s="168">
        <f>U64-V64</f>
        <v>316</v>
      </c>
      <c r="X64" s="51" t="s">
        <v>138</v>
      </c>
      <c r="Y64" s="177">
        <f t="shared" si="0"/>
        <v>3654</v>
      </c>
      <c r="Z64" s="153"/>
    </row>
    <row r="65" spans="1:26" hidden="1" x14ac:dyDescent="0.3">
      <c r="A65" s="745"/>
      <c r="B65" s="42" t="s">
        <v>28</v>
      </c>
      <c r="C65" s="79">
        <f>'IBS Action Plan 20170131'!C65</f>
        <v>0</v>
      </c>
      <c r="D65" s="176">
        <v>0</v>
      </c>
      <c r="E65" s="176">
        <v>66</v>
      </c>
      <c r="F65" s="181">
        <v>674</v>
      </c>
      <c r="G65" s="176">
        <f t="shared" si="6"/>
        <v>740</v>
      </c>
      <c r="H65" s="151" t="e">
        <f>#REF!</f>
        <v>#REF!</v>
      </c>
      <c r="I65" s="151"/>
      <c r="J65" s="176">
        <v>44</v>
      </c>
      <c r="K65" s="176">
        <v>140</v>
      </c>
      <c r="L65" s="165">
        <f t="shared" si="7"/>
        <v>644</v>
      </c>
      <c r="M65" s="196" t="s">
        <v>111</v>
      </c>
      <c r="N65" s="157"/>
      <c r="O65" s="103"/>
      <c r="P65" s="84">
        <v>0</v>
      </c>
      <c r="Q65" s="176">
        <v>0</v>
      </c>
      <c r="R65" s="176">
        <v>0</v>
      </c>
      <c r="S65" s="176">
        <v>0</v>
      </c>
      <c r="T65" s="176">
        <v>0</v>
      </c>
      <c r="U65" s="168">
        <f t="shared" si="1"/>
        <v>0</v>
      </c>
      <c r="V65" s="84"/>
      <c r="W65" s="168"/>
      <c r="X65" s="153"/>
      <c r="Y65" s="177">
        <f t="shared" si="0"/>
        <v>740</v>
      </c>
      <c r="Z65" s="153"/>
    </row>
    <row r="66" spans="1:26" hidden="1" x14ac:dyDescent="0.3">
      <c r="A66" s="745"/>
      <c r="B66" s="42" t="s">
        <v>21</v>
      </c>
      <c r="C66" s="79">
        <f>'IBS Action Plan 20170131'!C66</f>
        <v>0</v>
      </c>
      <c r="D66" s="176">
        <v>0</v>
      </c>
      <c r="E66" s="176">
        <f>89+1617</f>
        <v>1706</v>
      </c>
      <c r="F66" s="181">
        <f>419+825</f>
        <v>1244</v>
      </c>
      <c r="G66" s="176">
        <f t="shared" si="6"/>
        <v>2950</v>
      </c>
      <c r="H66" s="151" t="e">
        <f>#REF!</f>
        <v>#REF!</v>
      </c>
      <c r="I66" s="151"/>
      <c r="J66" s="176">
        <f>18+135</f>
        <v>153</v>
      </c>
      <c r="K66" s="176">
        <v>460</v>
      </c>
      <c r="L66" s="165">
        <f t="shared" si="7"/>
        <v>2643</v>
      </c>
      <c r="M66" s="196" t="s">
        <v>111</v>
      </c>
      <c r="N66" s="157"/>
      <c r="O66" s="103"/>
      <c r="P66" s="84">
        <v>0</v>
      </c>
      <c r="Q66" s="176">
        <v>0</v>
      </c>
      <c r="R66" s="176">
        <v>0</v>
      </c>
      <c r="S66" s="176">
        <v>0</v>
      </c>
      <c r="T66" s="176">
        <v>0</v>
      </c>
      <c r="U66" s="168">
        <f t="shared" si="1"/>
        <v>0</v>
      </c>
      <c r="V66" s="84"/>
      <c r="W66" s="168"/>
      <c r="X66" s="51"/>
      <c r="Y66" s="177">
        <f t="shared" si="0"/>
        <v>2950</v>
      </c>
      <c r="Z66" s="153"/>
    </row>
    <row r="67" spans="1:26" hidden="1" x14ac:dyDescent="0.3">
      <c r="A67" s="745"/>
      <c r="B67" s="42" t="s">
        <v>22</v>
      </c>
      <c r="C67" s="79">
        <f>'IBS Action Plan 20170131'!C67</f>
        <v>0</v>
      </c>
      <c r="D67" s="176">
        <v>8</v>
      </c>
      <c r="E67" s="176">
        <v>0</v>
      </c>
      <c r="F67" s="181">
        <v>5</v>
      </c>
      <c r="G67" s="176">
        <f t="shared" si="6"/>
        <v>13</v>
      </c>
      <c r="H67" s="151" t="e">
        <f>#REF!</f>
        <v>#REF!</v>
      </c>
      <c r="I67" s="151"/>
      <c r="J67" s="176">
        <v>54</v>
      </c>
      <c r="K67" s="176">
        <v>7</v>
      </c>
      <c r="L67" s="165">
        <f t="shared" si="7"/>
        <v>60</v>
      </c>
      <c r="M67" s="208" t="s">
        <v>113</v>
      </c>
      <c r="N67" s="157"/>
      <c r="O67" s="9"/>
      <c r="P67" s="84">
        <v>0</v>
      </c>
      <c r="Q67" s="176">
        <v>0</v>
      </c>
      <c r="R67" s="176">
        <v>0</v>
      </c>
      <c r="S67" s="176">
        <v>0</v>
      </c>
      <c r="T67" s="176">
        <v>0</v>
      </c>
      <c r="U67" s="168">
        <f t="shared" si="1"/>
        <v>0</v>
      </c>
      <c r="V67" s="84"/>
      <c r="W67" s="168"/>
      <c r="X67" s="51"/>
      <c r="Y67" s="177">
        <f t="shared" si="0"/>
        <v>13</v>
      </c>
      <c r="Z67" s="153"/>
    </row>
    <row r="68" spans="1:26" hidden="1" x14ac:dyDescent="0.3">
      <c r="A68" s="745"/>
      <c r="B68" s="42" t="s">
        <v>23</v>
      </c>
      <c r="C68" s="79">
        <f>'IBS Action Plan 20170131'!C68</f>
        <v>144</v>
      </c>
      <c r="D68" s="176">
        <v>339</v>
      </c>
      <c r="E68" s="176">
        <v>1054</v>
      </c>
      <c r="F68" s="181">
        <v>1007</v>
      </c>
      <c r="G68" s="176">
        <f t="shared" si="6"/>
        <v>2544</v>
      </c>
      <c r="H68" s="151" t="e">
        <f>#REF!</f>
        <v>#REF!</v>
      </c>
      <c r="I68" s="151"/>
      <c r="J68" s="176">
        <v>61</v>
      </c>
      <c r="K68" s="176">
        <v>86</v>
      </c>
      <c r="L68" s="165">
        <f t="shared" si="7"/>
        <v>2519</v>
      </c>
      <c r="M68" s="196" t="s">
        <v>112</v>
      </c>
      <c r="N68" s="157"/>
      <c r="O68" s="9"/>
      <c r="P68" s="84">
        <v>0</v>
      </c>
      <c r="Q68" s="176">
        <v>0</v>
      </c>
      <c r="R68" s="176">
        <v>0</v>
      </c>
      <c r="S68" s="176">
        <v>0</v>
      </c>
      <c r="T68" s="176">
        <v>0</v>
      </c>
      <c r="U68" s="168">
        <f t="shared" si="1"/>
        <v>0</v>
      </c>
      <c r="V68" s="84"/>
      <c r="W68" s="168"/>
      <c r="X68" s="51"/>
      <c r="Y68" s="177">
        <f t="shared" si="0"/>
        <v>2544</v>
      </c>
      <c r="Z68" s="153"/>
    </row>
    <row r="69" spans="1:26" hidden="1" x14ac:dyDescent="0.3">
      <c r="A69" s="745"/>
      <c r="B69" s="42" t="s">
        <v>24</v>
      </c>
      <c r="C69" s="79">
        <f>'IBS Action Plan 20170131'!C69</f>
        <v>0</v>
      </c>
      <c r="D69" s="176">
        <v>0</v>
      </c>
      <c r="E69" s="176">
        <v>82</v>
      </c>
      <c r="F69" s="181">
        <v>169</v>
      </c>
      <c r="G69" s="176">
        <f t="shared" si="6"/>
        <v>251</v>
      </c>
      <c r="H69" s="151" t="e">
        <f>#REF!</f>
        <v>#REF!</v>
      </c>
      <c r="I69" s="151"/>
      <c r="J69" s="176">
        <v>140</v>
      </c>
      <c r="K69" s="176">
        <v>2</v>
      </c>
      <c r="L69" s="165">
        <f t="shared" si="7"/>
        <v>389</v>
      </c>
      <c r="M69" s="208" t="s">
        <v>113</v>
      </c>
      <c r="N69" s="157"/>
      <c r="O69" s="9"/>
      <c r="P69" s="84">
        <v>0</v>
      </c>
      <c r="Q69" s="176">
        <v>0</v>
      </c>
      <c r="R69" s="176">
        <v>0</v>
      </c>
      <c r="S69" s="176">
        <v>0</v>
      </c>
      <c r="T69" s="176">
        <v>0</v>
      </c>
      <c r="U69" s="168">
        <f t="shared" si="1"/>
        <v>0</v>
      </c>
      <c r="V69" s="84"/>
      <c r="W69" s="168"/>
      <c r="X69" s="51"/>
      <c r="Y69" s="177">
        <f t="shared" si="0"/>
        <v>251</v>
      </c>
      <c r="Z69" s="153"/>
    </row>
    <row r="70" spans="1:26" hidden="1" x14ac:dyDescent="0.3">
      <c r="A70" s="745"/>
      <c r="B70" s="42" t="s">
        <v>25</v>
      </c>
      <c r="C70" s="79">
        <f>'IBS Action Plan 20170131'!C70</f>
        <v>0</v>
      </c>
      <c r="D70" s="176">
        <v>0</v>
      </c>
      <c r="E70" s="176">
        <v>15</v>
      </c>
      <c r="F70" s="181">
        <v>102</v>
      </c>
      <c r="G70" s="176">
        <f t="shared" si="6"/>
        <v>117</v>
      </c>
      <c r="H70" s="151" t="e">
        <f>#REF!</f>
        <v>#REF!</v>
      </c>
      <c r="I70" s="151"/>
      <c r="J70" s="176">
        <v>65</v>
      </c>
      <c r="K70" s="176">
        <v>0</v>
      </c>
      <c r="L70" s="165">
        <f t="shared" si="7"/>
        <v>182</v>
      </c>
      <c r="M70" s="208" t="s">
        <v>113</v>
      </c>
      <c r="N70" s="157"/>
      <c r="O70" s="9"/>
      <c r="P70" s="84">
        <v>0</v>
      </c>
      <c r="Q70" s="176">
        <v>0</v>
      </c>
      <c r="R70" s="176">
        <v>0</v>
      </c>
      <c r="S70" s="176">
        <v>0</v>
      </c>
      <c r="T70" s="176">
        <v>0</v>
      </c>
      <c r="U70" s="168">
        <f t="shared" si="1"/>
        <v>0</v>
      </c>
      <c r="V70" s="84"/>
      <c r="W70" s="168"/>
      <c r="X70" s="51"/>
      <c r="Y70" s="177">
        <f t="shared" si="0"/>
        <v>117</v>
      </c>
      <c r="Z70" s="153"/>
    </row>
    <row r="71" spans="1:26" hidden="1" x14ac:dyDescent="0.3">
      <c r="A71" s="746"/>
      <c r="B71" s="43" t="s">
        <v>26</v>
      </c>
      <c r="C71" s="79">
        <f>'IBS Action Plan 20170131'!C71</f>
        <v>59</v>
      </c>
      <c r="D71" s="170">
        <v>130</v>
      </c>
      <c r="E71" s="170">
        <v>126</v>
      </c>
      <c r="F71" s="126">
        <v>286</v>
      </c>
      <c r="G71" s="171">
        <f t="shared" si="6"/>
        <v>601</v>
      </c>
      <c r="H71" s="214" t="e">
        <f>#REF!</f>
        <v>#REF!</v>
      </c>
      <c r="I71" s="214"/>
      <c r="J71" s="170">
        <v>52</v>
      </c>
      <c r="K71" s="170">
        <v>63</v>
      </c>
      <c r="L71" s="170">
        <f t="shared" si="7"/>
        <v>590</v>
      </c>
      <c r="M71" s="197" t="s">
        <v>114</v>
      </c>
      <c r="N71" s="157"/>
      <c r="O71" s="10"/>
      <c r="P71" s="143">
        <v>0</v>
      </c>
      <c r="Q71" s="170">
        <v>0</v>
      </c>
      <c r="R71" s="170">
        <v>0</v>
      </c>
      <c r="S71" s="170">
        <v>0</v>
      </c>
      <c r="T71" s="170">
        <v>0</v>
      </c>
      <c r="U71" s="90">
        <f t="shared" si="1"/>
        <v>0</v>
      </c>
      <c r="V71" s="143"/>
      <c r="W71" s="85"/>
      <c r="X71" s="52"/>
      <c r="Y71" s="110">
        <f t="shared" si="0"/>
        <v>601</v>
      </c>
      <c r="Z71" s="153"/>
    </row>
    <row r="72" spans="1:26" ht="15" hidden="1" thickBot="1" x14ac:dyDescent="0.35">
      <c r="A72" s="40" t="s">
        <v>14</v>
      </c>
      <c r="B72" s="62" t="s">
        <v>168</v>
      </c>
      <c r="C72" s="79">
        <f>'IBS Action Plan 20170131'!C72</f>
        <v>364</v>
      </c>
      <c r="D72" s="173">
        <f>SUM(D60:D71)</f>
        <v>2243</v>
      </c>
      <c r="E72" s="173">
        <f t="shared" ref="E72:F72" si="8">SUM(E60:E71)</f>
        <v>9700</v>
      </c>
      <c r="F72" s="190">
        <f t="shared" si="8"/>
        <v>11628</v>
      </c>
      <c r="G72" s="187">
        <f t="shared" si="6"/>
        <v>23935</v>
      </c>
      <c r="H72" s="215" t="e">
        <f>SUM(H60:H71)</f>
        <v>#REF!</v>
      </c>
      <c r="I72" s="173"/>
      <c r="J72" s="173">
        <f t="shared" ref="J72" si="9">SUM(J60:J71)</f>
        <v>1033</v>
      </c>
      <c r="K72" s="173">
        <f>SUM(K60:K71)</f>
        <v>3041</v>
      </c>
      <c r="L72" s="173">
        <f>SUM(L60:L71)</f>
        <v>21927</v>
      </c>
      <c r="M72" s="198"/>
      <c r="N72" s="157"/>
      <c r="O72" s="37"/>
      <c r="P72" s="145">
        <f>SUM(P60:P71)</f>
        <v>4</v>
      </c>
      <c r="Q72" s="173">
        <f t="shared" ref="Q72:X72" si="10">SUM(Q60:Q71)</f>
        <v>469</v>
      </c>
      <c r="R72" s="173">
        <f t="shared" si="10"/>
        <v>1521</v>
      </c>
      <c r="S72" s="173">
        <f t="shared" si="10"/>
        <v>3345</v>
      </c>
      <c r="T72" s="173">
        <f>SUM(T60:T71)</f>
        <v>24</v>
      </c>
      <c r="U72" s="115">
        <f t="shared" si="1"/>
        <v>5363</v>
      </c>
      <c r="V72" s="145">
        <f>SUM(V60:V71)</f>
        <v>2305</v>
      </c>
      <c r="W72" s="172">
        <f>SUM(W60:W71)</f>
        <v>3058</v>
      </c>
      <c r="X72" s="53">
        <f t="shared" si="10"/>
        <v>0</v>
      </c>
      <c r="Y72" s="116">
        <f>SUM(Y60:Y71)</f>
        <v>29298</v>
      </c>
      <c r="Z72" s="35"/>
    </row>
    <row r="73" spans="1:26" ht="15" hidden="1" thickBot="1" x14ac:dyDescent="0.35">
      <c r="A73" s="243" t="s">
        <v>7</v>
      </c>
      <c r="B73" s="244" t="s">
        <v>46</v>
      </c>
      <c r="C73" s="79">
        <f>'IBS Action Plan 20170131'!C73</f>
        <v>423</v>
      </c>
      <c r="D73" s="220">
        <f t="shared" ref="D73:L73" si="11">+D41+D59+D72</f>
        <v>3302</v>
      </c>
      <c r="E73" s="220">
        <f t="shared" si="11"/>
        <v>13988</v>
      </c>
      <c r="F73" s="245">
        <f t="shared" si="11"/>
        <v>32879</v>
      </c>
      <c r="G73" s="220">
        <f t="shared" si="11"/>
        <v>50592</v>
      </c>
      <c r="H73" s="220" t="e">
        <f t="shared" si="11"/>
        <v>#REF!</v>
      </c>
      <c r="I73" s="220"/>
      <c r="J73" s="220">
        <f t="shared" si="11"/>
        <v>14232</v>
      </c>
      <c r="K73" s="220">
        <f t="shared" si="11"/>
        <v>8619</v>
      </c>
      <c r="L73" s="220">
        <f t="shared" si="11"/>
        <v>56208</v>
      </c>
      <c r="M73" s="246"/>
      <c r="N73" s="157"/>
      <c r="O73" s="65"/>
      <c r="P73" s="95">
        <f t="shared" ref="P73:W73" si="12">+P41+P59+P72</f>
        <v>4</v>
      </c>
      <c r="Q73" s="92">
        <f t="shared" si="12"/>
        <v>654</v>
      </c>
      <c r="R73" s="92">
        <f t="shared" si="12"/>
        <v>1938</v>
      </c>
      <c r="S73" s="92">
        <f t="shared" si="12"/>
        <v>4947</v>
      </c>
      <c r="T73" s="92">
        <f t="shared" si="12"/>
        <v>1863</v>
      </c>
      <c r="U73" s="118">
        <f t="shared" si="12"/>
        <v>9406</v>
      </c>
      <c r="V73" s="95">
        <f t="shared" si="12"/>
        <v>2305</v>
      </c>
      <c r="W73" s="89">
        <f t="shared" si="12"/>
        <v>3058</v>
      </c>
      <c r="X73" s="66"/>
      <c r="Y73" s="89">
        <f>+Y41+Y59+Y72</f>
        <v>59998</v>
      </c>
      <c r="Z73" s="35"/>
    </row>
    <row r="74" spans="1:26" ht="15" hidden="1" thickBot="1" x14ac:dyDescent="0.35">
      <c r="A74" s="247"/>
      <c r="B74" s="248" t="s">
        <v>180</v>
      </c>
      <c r="C74" s="79">
        <f>'IBS Action Plan 20170131'!C74</f>
        <v>116325</v>
      </c>
      <c r="D74" s="249" t="e">
        <f>#REF!</f>
        <v>#REF!</v>
      </c>
      <c r="E74" s="249" t="e">
        <f>#REF!</f>
        <v>#REF!</v>
      </c>
      <c r="F74" s="250" t="e">
        <f>#REF!</f>
        <v>#REF!</v>
      </c>
      <c r="G74" s="215" t="e">
        <f>#REF!</f>
        <v>#REF!</v>
      </c>
      <c r="H74" s="215"/>
      <c r="I74" s="215"/>
      <c r="J74" s="215" t="e">
        <f>#REF!</f>
        <v>#REF!</v>
      </c>
      <c r="K74" s="215"/>
      <c r="L74" s="215"/>
      <c r="M74" s="221"/>
      <c r="N74" s="157"/>
      <c r="O74" s="227"/>
      <c r="P74" s="225"/>
      <c r="Q74" s="226"/>
      <c r="R74" s="226"/>
      <c r="S74" s="226"/>
      <c r="T74" s="226"/>
      <c r="U74" s="228"/>
      <c r="V74" s="225"/>
      <c r="W74" s="229"/>
      <c r="X74" s="230"/>
      <c r="Y74" s="231"/>
      <c r="Z74" s="35"/>
    </row>
    <row r="75" spans="1:26" ht="15" hidden="1" thickBot="1" x14ac:dyDescent="0.35">
      <c r="A75" s="234" t="s">
        <v>7</v>
      </c>
      <c r="B75" s="235" t="s">
        <v>131</v>
      </c>
      <c r="C75" s="79">
        <f>'IBS Action Plan 20170131'!C75</f>
        <v>2876.7891420000001</v>
      </c>
      <c r="D75" s="236">
        <f t="shared" ref="D75:L75" si="13">D28+D73</f>
        <v>4669.1656970000004</v>
      </c>
      <c r="E75" s="236">
        <f t="shared" si="13"/>
        <v>23543.411986999999</v>
      </c>
      <c r="F75" s="236">
        <f t="shared" si="13"/>
        <v>44489.588660000001</v>
      </c>
      <c r="G75" s="236">
        <f t="shared" si="13"/>
        <v>75578.955485999992</v>
      </c>
      <c r="H75" s="236" t="e">
        <f t="shared" si="13"/>
        <v>#REF!</v>
      </c>
      <c r="I75" s="236"/>
      <c r="J75" s="236">
        <f t="shared" si="13"/>
        <v>28282.732049999999</v>
      </c>
      <c r="K75" s="236">
        <f t="shared" si="13"/>
        <v>15095.090694</v>
      </c>
      <c r="L75" s="236">
        <f t="shared" si="13"/>
        <v>88769.596841999999</v>
      </c>
      <c r="M75" s="237"/>
      <c r="N75" s="157"/>
      <c r="O75" s="59"/>
      <c r="P75" s="86">
        <f t="shared" ref="P75:W75" si="14">P28+P73</f>
        <v>588.45888500000001</v>
      </c>
      <c r="Q75" s="108">
        <f t="shared" si="14"/>
        <v>797.29147399999999</v>
      </c>
      <c r="R75" s="108">
        <f t="shared" si="14"/>
        <v>12849.175846</v>
      </c>
      <c r="S75" s="108">
        <f t="shared" si="14"/>
        <v>10704.714630999999</v>
      </c>
      <c r="T75" s="108">
        <f t="shared" si="14"/>
        <v>7460.7981950000003</v>
      </c>
      <c r="U75" s="119">
        <f t="shared" si="14"/>
        <v>32400.439031000002</v>
      </c>
      <c r="V75" s="86">
        <f t="shared" si="14"/>
        <v>12606.63903</v>
      </c>
      <c r="W75" s="120">
        <f t="shared" si="14"/>
        <v>15750.8</v>
      </c>
      <c r="X75" s="67"/>
      <c r="Y75" s="111">
        <f>+G75+U75</f>
        <v>107979.39451699999</v>
      </c>
      <c r="Z75" s="2"/>
    </row>
    <row r="76" spans="1:26" ht="15" hidden="1" thickBot="1" x14ac:dyDescent="0.35">
      <c r="A76" s="14"/>
      <c r="B76" s="238" t="s">
        <v>180</v>
      </c>
      <c r="C76" s="79">
        <f>'IBS Action Plan 20170131'!C76</f>
        <v>791117.01405</v>
      </c>
      <c r="D76" s="241" t="e">
        <f>+D29+D74</f>
        <v>#REF!</v>
      </c>
      <c r="E76" s="241" t="e">
        <f t="shared" ref="E76:J76" si="15">+E29+E74</f>
        <v>#REF!</v>
      </c>
      <c r="F76" s="241" t="e">
        <f t="shared" si="15"/>
        <v>#REF!</v>
      </c>
      <c r="G76" s="241" t="e">
        <f>+G29+G74</f>
        <v>#REF!</v>
      </c>
      <c r="H76" s="241">
        <f t="shared" si="15"/>
        <v>5274956.8178999992</v>
      </c>
      <c r="I76" s="241"/>
      <c r="J76" s="241" t="e">
        <f t="shared" si="15"/>
        <v>#REF!</v>
      </c>
      <c r="K76" s="241"/>
      <c r="L76" s="241"/>
      <c r="M76" s="242"/>
      <c r="N76" s="157"/>
      <c r="O76" s="233"/>
      <c r="P76" s="232"/>
      <c r="Q76" s="232"/>
      <c r="R76" s="232"/>
      <c r="S76" s="232"/>
      <c r="T76" s="232"/>
      <c r="U76" s="232"/>
      <c r="V76" s="232"/>
      <c r="W76" s="232"/>
      <c r="X76" s="233"/>
      <c r="Y76" s="146"/>
      <c r="Z76" s="2"/>
    </row>
    <row r="77" spans="1:26" x14ac:dyDescent="0.3">
      <c r="A77" s="153"/>
      <c r="B77" s="153"/>
      <c r="C77" s="153"/>
      <c r="D77" s="153"/>
      <c r="E77" s="153"/>
      <c r="F77" s="153"/>
      <c r="G77" s="153"/>
      <c r="H77" s="153"/>
      <c r="J77" s="153"/>
      <c r="K77" s="153"/>
      <c r="L77" s="153"/>
      <c r="M77" s="50"/>
      <c r="N77" s="153"/>
      <c r="O77" s="153"/>
      <c r="P77" s="153"/>
      <c r="Q77" s="153"/>
      <c r="R77" s="153"/>
      <c r="S77" s="153"/>
      <c r="T77" s="153"/>
      <c r="U77" s="153"/>
      <c r="V77" s="153"/>
      <c r="W77" s="153"/>
      <c r="X77" s="153"/>
      <c r="Y77" s="153"/>
      <c r="Z77" s="153"/>
    </row>
  </sheetData>
  <mergeCells count="14">
    <mergeCell ref="A60:A71"/>
    <mergeCell ref="A4:M4"/>
    <mergeCell ref="O4:X4"/>
    <mergeCell ref="A5:A7"/>
    <mergeCell ref="B5:B7"/>
    <mergeCell ref="C5:F5"/>
    <mergeCell ref="O5:O7"/>
    <mergeCell ref="P5:T5"/>
    <mergeCell ref="A9:A12"/>
    <mergeCell ref="A14:A22"/>
    <mergeCell ref="A24:A26"/>
    <mergeCell ref="A30:A40"/>
    <mergeCell ref="A42:A58"/>
    <mergeCell ref="I5:I7"/>
  </mergeCells>
  <pageMargins left="0.7" right="0.7" top="0.75" bottom="0.75" header="0.3" footer="0.3"/>
  <pageSetup paperSize="3" scale="6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7"/>
  <sheetViews>
    <sheetView topLeftCell="A57" workbookViewId="0">
      <selection activeCell="A78" sqref="A78"/>
    </sheetView>
  </sheetViews>
  <sheetFormatPr defaultRowHeight="14.4" x14ac:dyDescent="0.3"/>
  <cols>
    <col min="1" max="1" width="10.6640625" customWidth="1"/>
    <col min="2" max="2" width="29.109375" customWidth="1"/>
    <col min="3" max="3" width="10.44140625" bestFit="1" customWidth="1"/>
    <col min="4" max="5" width="10.6640625" bestFit="1" customWidth="1"/>
    <col min="6" max="6" width="10.88671875" customWidth="1"/>
    <col min="7" max="8" width="11.6640625" bestFit="1" customWidth="1"/>
    <col min="9" max="9" width="11.6640625" style="153" customWidth="1"/>
    <col min="10" max="10" width="14.33203125" customWidth="1"/>
    <col min="11" max="11" width="10.5546875" customWidth="1"/>
    <col min="12" max="12" width="12.5546875" bestFit="1" customWidth="1"/>
    <col min="13" max="13" width="12.6640625" bestFit="1" customWidth="1"/>
    <col min="15" max="15" width="12" customWidth="1"/>
    <col min="23" max="23" width="12.33203125" bestFit="1" customWidth="1"/>
    <col min="24" max="24" width="50.44140625" bestFit="1" customWidth="1"/>
    <col min="25" max="25" width="15" bestFit="1" customWidth="1"/>
  </cols>
  <sheetData>
    <row r="1" spans="1:26" x14ac:dyDescent="0.3">
      <c r="A1" s="6" t="s">
        <v>188</v>
      </c>
      <c r="B1" s="153"/>
      <c r="C1" s="153"/>
      <c r="D1" s="153"/>
      <c r="E1" s="153"/>
      <c r="F1" s="153"/>
      <c r="G1" s="153"/>
      <c r="H1" s="153"/>
      <c r="J1" s="153"/>
      <c r="K1" s="153"/>
      <c r="L1" s="153"/>
      <c r="M1" s="50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</row>
    <row r="2" spans="1:26" x14ac:dyDescent="0.3">
      <c r="A2" s="295">
        <f>'IBS Action Plan 20170131'!A2</f>
        <v>42766</v>
      </c>
      <c r="B2" s="153"/>
      <c r="C2" s="153"/>
      <c r="D2" s="153"/>
      <c r="E2" s="153"/>
      <c r="F2" s="153"/>
      <c r="G2" s="153"/>
      <c r="H2" s="153"/>
      <c r="J2" s="153"/>
      <c r="K2" s="153"/>
      <c r="L2" s="153"/>
      <c r="M2" s="50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</row>
    <row r="3" spans="1:26" ht="15" thickBot="1" x14ac:dyDescent="0.35">
      <c r="A3" s="153"/>
      <c r="B3" s="153"/>
      <c r="C3" s="153"/>
      <c r="D3" s="153"/>
      <c r="E3" s="153"/>
      <c r="F3" s="153"/>
      <c r="G3" s="153"/>
      <c r="H3" s="153"/>
      <c r="J3" s="153"/>
      <c r="K3" s="153"/>
      <c r="L3" s="153"/>
      <c r="M3" s="50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</row>
    <row r="4" spans="1:26" x14ac:dyDescent="0.3">
      <c r="A4" s="672" t="s">
        <v>182</v>
      </c>
      <c r="B4" s="673"/>
      <c r="C4" s="673"/>
      <c r="D4" s="673"/>
      <c r="E4" s="673"/>
      <c r="F4" s="673"/>
      <c r="G4" s="673"/>
      <c r="H4" s="673"/>
      <c r="I4" s="673"/>
      <c r="J4" s="673"/>
      <c r="K4" s="673"/>
      <c r="L4" s="673"/>
      <c r="M4" s="673"/>
      <c r="N4" s="32"/>
      <c r="O4" s="674" t="s">
        <v>41</v>
      </c>
      <c r="P4" s="675"/>
      <c r="Q4" s="675"/>
      <c r="R4" s="675"/>
      <c r="S4" s="675"/>
      <c r="T4" s="675"/>
      <c r="U4" s="675"/>
      <c r="V4" s="675"/>
      <c r="W4" s="675"/>
      <c r="X4" s="675"/>
      <c r="Y4" s="11" t="s">
        <v>7</v>
      </c>
      <c r="Z4" s="153"/>
    </row>
    <row r="5" spans="1:26" x14ac:dyDescent="0.3">
      <c r="A5" s="684" t="s">
        <v>36</v>
      </c>
      <c r="B5" s="682" t="s">
        <v>37</v>
      </c>
      <c r="C5" s="679" t="s">
        <v>0</v>
      </c>
      <c r="D5" s="680"/>
      <c r="E5" s="680"/>
      <c r="F5" s="681"/>
      <c r="G5" s="155" t="s">
        <v>7</v>
      </c>
      <c r="H5" s="211" t="s">
        <v>177</v>
      </c>
      <c r="I5" s="211" t="str">
        <f>'IBS Action Plan 20170131'!I5</f>
        <v>Estimated Area to Harvest ÷ Total Area AOS (%)</v>
      </c>
      <c r="J5" s="210"/>
      <c r="K5" s="155" t="s">
        <v>12</v>
      </c>
      <c r="L5" s="155" t="s">
        <v>13</v>
      </c>
      <c r="M5" s="155" t="s">
        <v>18</v>
      </c>
      <c r="N5" s="130"/>
      <c r="O5" s="682" t="s">
        <v>65</v>
      </c>
      <c r="P5" s="679" t="s">
        <v>0</v>
      </c>
      <c r="Q5" s="680"/>
      <c r="R5" s="680"/>
      <c r="S5" s="680"/>
      <c r="T5" s="680"/>
      <c r="U5" s="7"/>
      <c r="V5" s="68" t="s">
        <v>12</v>
      </c>
      <c r="W5" s="33" t="s">
        <v>13</v>
      </c>
      <c r="X5" s="46" t="s">
        <v>43</v>
      </c>
      <c r="Y5" s="46" t="s">
        <v>155</v>
      </c>
      <c r="Z5" s="153"/>
    </row>
    <row r="6" spans="1:26" x14ac:dyDescent="0.3">
      <c r="A6" s="685"/>
      <c r="B6" s="683"/>
      <c r="C6" s="36" t="s">
        <v>5</v>
      </c>
      <c r="D6" s="154" t="s">
        <v>3</v>
      </c>
      <c r="E6" s="154" t="s">
        <v>2</v>
      </c>
      <c r="F6" s="149" t="s">
        <v>1</v>
      </c>
      <c r="G6" s="154" t="s">
        <v>11</v>
      </c>
      <c r="H6" s="212" t="s">
        <v>175</v>
      </c>
      <c r="I6" s="431">
        <f>'IBS Action Plan 20170131'!I6</f>
        <v>0</v>
      </c>
      <c r="J6" s="212" t="s">
        <v>164</v>
      </c>
      <c r="K6" s="154" t="s">
        <v>11</v>
      </c>
      <c r="L6" s="154" t="s">
        <v>11</v>
      </c>
      <c r="M6" s="194" t="s">
        <v>39</v>
      </c>
      <c r="N6" s="130"/>
      <c r="O6" s="683"/>
      <c r="P6" s="36" t="s">
        <v>5</v>
      </c>
      <c r="Q6" s="154" t="s">
        <v>3</v>
      </c>
      <c r="R6" s="154" t="s">
        <v>2</v>
      </c>
      <c r="S6" s="154" t="s">
        <v>1</v>
      </c>
      <c r="T6" s="154" t="s">
        <v>4</v>
      </c>
      <c r="U6" s="156" t="s">
        <v>7</v>
      </c>
      <c r="V6" s="36" t="s">
        <v>8</v>
      </c>
      <c r="W6" s="156" t="s">
        <v>8</v>
      </c>
      <c r="X6" s="47" t="s">
        <v>42</v>
      </c>
      <c r="Y6" s="47" t="s">
        <v>40</v>
      </c>
      <c r="Z6" s="153"/>
    </row>
    <row r="7" spans="1:26" x14ac:dyDescent="0.3">
      <c r="A7" s="685"/>
      <c r="B7" s="683"/>
      <c r="C7" s="36" t="s">
        <v>11</v>
      </c>
      <c r="D7" s="154" t="s">
        <v>11</v>
      </c>
      <c r="E7" s="154" t="s">
        <v>11</v>
      </c>
      <c r="F7" s="149" t="s">
        <v>11</v>
      </c>
      <c r="G7" s="154" t="s">
        <v>178</v>
      </c>
      <c r="H7" s="212" t="s">
        <v>178</v>
      </c>
      <c r="I7" s="431">
        <f>'IBS Action Plan 20170131'!I7</f>
        <v>0</v>
      </c>
      <c r="J7" s="154" t="s">
        <v>179</v>
      </c>
      <c r="K7" s="154" t="s">
        <v>176</v>
      </c>
      <c r="L7" s="154" t="s">
        <v>176</v>
      </c>
      <c r="M7" s="194" t="s">
        <v>10</v>
      </c>
      <c r="N7" s="130"/>
      <c r="O7" s="683"/>
      <c r="P7" s="36" t="s">
        <v>11</v>
      </c>
      <c r="Q7" s="154" t="s">
        <v>11</v>
      </c>
      <c r="R7" s="154" t="s">
        <v>11</v>
      </c>
      <c r="S7" s="154" t="s">
        <v>11</v>
      </c>
      <c r="T7" s="154" t="s">
        <v>11</v>
      </c>
      <c r="U7" s="156" t="s">
        <v>11</v>
      </c>
      <c r="V7" s="36" t="s">
        <v>11</v>
      </c>
      <c r="W7" s="156" t="s">
        <v>11</v>
      </c>
      <c r="X7" s="47"/>
      <c r="Y7" s="47" t="s">
        <v>41</v>
      </c>
      <c r="Z7" s="2"/>
    </row>
    <row r="8" spans="1:26" ht="15" thickBot="1" x14ac:dyDescent="0.35">
      <c r="A8" s="185"/>
      <c r="B8" s="184"/>
      <c r="C8" s="36" t="s">
        <v>183</v>
      </c>
      <c r="D8" s="154" t="s">
        <v>184</v>
      </c>
      <c r="E8" s="154" t="s">
        <v>185</v>
      </c>
      <c r="F8" s="149" t="s">
        <v>186</v>
      </c>
      <c r="G8" s="154"/>
      <c r="H8" s="212"/>
      <c r="I8" s="432"/>
      <c r="J8" s="154" t="s">
        <v>187</v>
      </c>
      <c r="K8" s="154"/>
      <c r="L8" s="154"/>
      <c r="M8" s="194"/>
      <c r="N8" s="130"/>
      <c r="O8" s="184"/>
      <c r="P8" s="36"/>
      <c r="Q8" s="154"/>
      <c r="R8" s="154"/>
      <c r="S8" s="154"/>
      <c r="T8" s="154"/>
      <c r="U8" s="156"/>
      <c r="V8" s="36"/>
      <c r="W8" s="156"/>
      <c r="X8" s="47"/>
      <c r="Y8" s="47"/>
      <c r="Z8" s="2"/>
    </row>
    <row r="9" spans="1:26" ht="15" hidden="1" thickBot="1" x14ac:dyDescent="0.35">
      <c r="A9" s="689" t="s">
        <v>99</v>
      </c>
      <c r="B9" s="56" t="s">
        <v>100</v>
      </c>
      <c r="C9" s="79">
        <v>0</v>
      </c>
      <c r="D9" s="76">
        <v>0</v>
      </c>
      <c r="E9" s="76">
        <v>588</v>
      </c>
      <c r="F9" s="150">
        <v>1346</v>
      </c>
      <c r="G9" s="76">
        <f t="shared" ref="G9:G19" si="0">SUM(C9:F9)</f>
        <v>1934</v>
      </c>
      <c r="H9" s="148" t="e">
        <f>#REF!</f>
        <v>#REF!</v>
      </c>
      <c r="I9" s="148" t="e">
        <f>#REF!</f>
        <v>#REF!</v>
      </c>
      <c r="J9" s="76">
        <v>5704</v>
      </c>
      <c r="K9" s="148">
        <v>0</v>
      </c>
      <c r="L9" s="148">
        <v>7638</v>
      </c>
      <c r="M9" s="195" t="s">
        <v>101</v>
      </c>
      <c r="N9" s="32"/>
      <c r="O9" s="57"/>
      <c r="P9" s="79" t="s">
        <v>90</v>
      </c>
      <c r="Q9" s="76" t="s">
        <v>90</v>
      </c>
      <c r="R9" s="76" t="s">
        <v>90</v>
      </c>
      <c r="S9" s="76" t="s">
        <v>90</v>
      </c>
      <c r="T9" s="76">
        <v>425</v>
      </c>
      <c r="U9" s="100">
        <f t="shared" ref="U9:U11" si="1">SUM(P9:T9)</f>
        <v>425</v>
      </c>
      <c r="V9" s="122">
        <v>170</v>
      </c>
      <c r="W9" s="127">
        <v>255</v>
      </c>
      <c r="X9" s="30" t="s">
        <v>117</v>
      </c>
      <c r="Y9" s="109">
        <f t="shared" ref="Y9:Y27" si="2">+G9+U9</f>
        <v>2359</v>
      </c>
      <c r="Z9" s="153"/>
    </row>
    <row r="10" spans="1:26" ht="15" hidden="1" thickBot="1" x14ac:dyDescent="0.35">
      <c r="A10" s="690"/>
      <c r="B10" s="104" t="s">
        <v>102</v>
      </c>
      <c r="C10" s="84">
        <v>0</v>
      </c>
      <c r="D10" s="176">
        <v>0</v>
      </c>
      <c r="E10" s="176">
        <v>748</v>
      </c>
      <c r="F10" s="181">
        <v>1530</v>
      </c>
      <c r="G10" s="176">
        <f t="shared" si="0"/>
        <v>2278</v>
      </c>
      <c r="H10" s="151" t="e">
        <f>#REF!</f>
        <v>#REF!</v>
      </c>
      <c r="I10" s="151" t="e">
        <f>#REF!</f>
        <v>#REF!</v>
      </c>
      <c r="J10" s="176">
        <v>236</v>
      </c>
      <c r="K10" s="151">
        <v>1005</v>
      </c>
      <c r="L10" s="151">
        <v>1509</v>
      </c>
      <c r="M10" s="196" t="s">
        <v>103</v>
      </c>
      <c r="N10" s="130"/>
      <c r="O10" s="103"/>
      <c r="P10" s="84" t="s">
        <v>90</v>
      </c>
      <c r="Q10" s="176" t="s">
        <v>90</v>
      </c>
      <c r="R10" s="176">
        <v>437</v>
      </c>
      <c r="S10" s="176">
        <v>3554</v>
      </c>
      <c r="T10" s="176">
        <v>4713</v>
      </c>
      <c r="U10" s="168">
        <f t="shared" si="1"/>
        <v>8704</v>
      </c>
      <c r="V10" s="125">
        <v>3481.6000000000004</v>
      </c>
      <c r="W10" s="123">
        <v>5222.3999999999996</v>
      </c>
      <c r="X10" s="51" t="s">
        <v>118</v>
      </c>
      <c r="Y10" s="177">
        <f t="shared" si="2"/>
        <v>10982</v>
      </c>
      <c r="Z10" s="153"/>
    </row>
    <row r="11" spans="1:26" ht="15" hidden="1" thickBot="1" x14ac:dyDescent="0.35">
      <c r="A11" s="690"/>
      <c r="B11" s="104" t="s">
        <v>104</v>
      </c>
      <c r="C11" s="84">
        <v>0</v>
      </c>
      <c r="D11" s="176">
        <v>711</v>
      </c>
      <c r="E11" s="176">
        <v>5061</v>
      </c>
      <c r="F11" s="181">
        <v>3285</v>
      </c>
      <c r="G11" s="176">
        <f t="shared" si="0"/>
        <v>9057</v>
      </c>
      <c r="H11" s="151" t="e">
        <f>#REF!</f>
        <v>#REF!</v>
      </c>
      <c r="I11" s="151" t="e">
        <f>#REF!</f>
        <v>#REF!</v>
      </c>
      <c r="J11" s="176">
        <v>433</v>
      </c>
      <c r="K11" s="151">
        <v>3796</v>
      </c>
      <c r="L11" s="151">
        <v>5694</v>
      </c>
      <c r="M11" s="196" t="s">
        <v>105</v>
      </c>
      <c r="N11" s="130"/>
      <c r="O11" s="103"/>
      <c r="P11" s="84" t="s">
        <v>90</v>
      </c>
      <c r="Q11" s="176" t="s">
        <v>90</v>
      </c>
      <c r="R11" s="176">
        <v>9563</v>
      </c>
      <c r="S11" s="176">
        <v>2026</v>
      </c>
      <c r="T11" s="176">
        <v>55</v>
      </c>
      <c r="U11" s="168">
        <f t="shared" si="1"/>
        <v>11644</v>
      </c>
      <c r="V11" s="125">
        <v>4657.6000000000004</v>
      </c>
      <c r="W11" s="123">
        <v>6986.4</v>
      </c>
      <c r="X11" s="51" t="s">
        <v>119</v>
      </c>
      <c r="Y11" s="177">
        <f t="shared" si="2"/>
        <v>20701</v>
      </c>
      <c r="Z11" s="153"/>
    </row>
    <row r="12" spans="1:26" ht="15" hidden="1" thickBot="1" x14ac:dyDescent="0.35">
      <c r="A12" s="691"/>
      <c r="B12" s="45" t="s">
        <v>106</v>
      </c>
      <c r="C12" s="143">
        <v>0</v>
      </c>
      <c r="D12" s="170">
        <v>0</v>
      </c>
      <c r="E12" s="170">
        <v>0</v>
      </c>
      <c r="F12" s="126">
        <v>2727</v>
      </c>
      <c r="G12" s="170">
        <f t="shared" si="0"/>
        <v>2727</v>
      </c>
      <c r="H12" s="214" t="e">
        <f>#REF!</f>
        <v>#REF!</v>
      </c>
      <c r="I12" s="214" t="e">
        <f>#REF!</f>
        <v>#REF!</v>
      </c>
      <c r="J12" s="170">
        <v>2205</v>
      </c>
      <c r="K12" s="152">
        <v>0</v>
      </c>
      <c r="L12" s="152">
        <v>4932</v>
      </c>
      <c r="M12" s="197" t="s">
        <v>107</v>
      </c>
      <c r="N12" s="130"/>
      <c r="O12" s="39"/>
      <c r="P12" s="143" t="s">
        <v>90</v>
      </c>
      <c r="Q12" s="170" t="s">
        <v>90</v>
      </c>
      <c r="R12" s="170" t="s">
        <v>90</v>
      </c>
      <c r="S12" s="170" t="s">
        <v>90</v>
      </c>
      <c r="T12" s="170" t="s">
        <v>90</v>
      </c>
      <c r="U12" s="90">
        <f>SUM(P12:T12)</f>
        <v>0</v>
      </c>
      <c r="V12" s="128">
        <v>0</v>
      </c>
      <c r="W12" s="124">
        <v>0</v>
      </c>
      <c r="X12" s="52"/>
      <c r="Y12" s="110">
        <f t="shared" si="2"/>
        <v>2727</v>
      </c>
      <c r="Z12" s="153"/>
    </row>
    <row r="13" spans="1:26" ht="15" hidden="1" thickBot="1" x14ac:dyDescent="0.35">
      <c r="A13" s="40" t="s">
        <v>14</v>
      </c>
      <c r="B13" s="64" t="s">
        <v>172</v>
      </c>
      <c r="C13" s="145">
        <f>SUM(C9:C12)</f>
        <v>0</v>
      </c>
      <c r="D13" s="173">
        <f>SUM(D9:D12)</f>
        <v>711</v>
      </c>
      <c r="E13" s="173">
        <f t="shared" ref="E13:F13" si="3">SUM(E9:E12)</f>
        <v>6397</v>
      </c>
      <c r="F13" s="190">
        <f t="shared" si="3"/>
        <v>8888</v>
      </c>
      <c r="G13" s="163">
        <f t="shared" si="0"/>
        <v>15996</v>
      </c>
      <c r="H13" s="217" t="e">
        <f>#REF!</f>
        <v>#REF!</v>
      </c>
      <c r="I13" s="217" t="e">
        <f>#REF!</f>
        <v>#REF!</v>
      </c>
      <c r="J13" s="173">
        <f t="shared" ref="J13:K13" si="4">SUM(J9:J12)</f>
        <v>8578</v>
      </c>
      <c r="K13" s="173">
        <f t="shared" si="4"/>
        <v>4801</v>
      </c>
      <c r="L13" s="173">
        <f>SUM(L9:L12)</f>
        <v>19773</v>
      </c>
      <c r="M13" s="198" t="s">
        <v>108</v>
      </c>
      <c r="N13" s="130"/>
      <c r="O13" s="37" t="s">
        <v>90</v>
      </c>
      <c r="P13" s="145">
        <f>SUM(P9:P12)</f>
        <v>0</v>
      </c>
      <c r="Q13" s="173">
        <f>SUM(Q9:Q12)</f>
        <v>0</v>
      </c>
      <c r="R13" s="173">
        <f t="shared" ref="R13:T13" si="5">SUM(R9:R12)</f>
        <v>10000</v>
      </c>
      <c r="S13" s="173">
        <f t="shared" si="5"/>
        <v>5580</v>
      </c>
      <c r="T13" s="173">
        <f t="shared" si="5"/>
        <v>5193</v>
      </c>
      <c r="U13" s="98">
        <f>SUM(U9:U12)</f>
        <v>20773</v>
      </c>
      <c r="V13" s="145">
        <f>SUM(V9:V12)</f>
        <v>8309.2000000000007</v>
      </c>
      <c r="W13" s="172">
        <f>SUM(W9:W12)</f>
        <v>12463.8</v>
      </c>
      <c r="X13" s="53"/>
      <c r="Y13" s="114">
        <f t="shared" si="2"/>
        <v>36769</v>
      </c>
      <c r="Z13" s="35"/>
    </row>
    <row r="14" spans="1:26" ht="43.8" hidden="1" thickBot="1" x14ac:dyDescent="0.35">
      <c r="A14" s="747" t="s">
        <v>156</v>
      </c>
      <c r="B14" s="41" t="s">
        <v>67</v>
      </c>
      <c r="C14" s="70">
        <v>782</v>
      </c>
      <c r="D14" s="166">
        <v>404</v>
      </c>
      <c r="E14" s="166">
        <v>546</v>
      </c>
      <c r="F14" s="191">
        <v>991</v>
      </c>
      <c r="G14" s="165">
        <f t="shared" si="0"/>
        <v>2723</v>
      </c>
      <c r="H14" s="216" t="e">
        <f>#REF!</f>
        <v>#REF!</v>
      </c>
      <c r="I14" s="216" t="e">
        <f>#REF!</f>
        <v>#REF!</v>
      </c>
      <c r="J14" s="166">
        <v>297</v>
      </c>
      <c r="K14" s="166">
        <v>205</v>
      </c>
      <c r="L14" s="166">
        <v>2814</v>
      </c>
      <c r="M14" s="199" t="s">
        <v>147</v>
      </c>
      <c r="N14" s="157"/>
      <c r="O14" s="38"/>
      <c r="P14" s="70"/>
      <c r="Q14" s="166"/>
      <c r="R14" s="166"/>
      <c r="S14" s="166"/>
      <c r="T14" s="166"/>
      <c r="U14" s="167">
        <f t="shared" ref="U14:U27" si="6">SUM(P14:T14)</f>
        <v>0</v>
      </c>
      <c r="V14" s="70"/>
      <c r="W14" s="83"/>
      <c r="X14" s="112" t="s">
        <v>133</v>
      </c>
      <c r="Y14" s="113">
        <f t="shared" si="2"/>
        <v>2723</v>
      </c>
      <c r="Z14" s="153"/>
    </row>
    <row r="15" spans="1:26" ht="15" hidden="1" thickBot="1" x14ac:dyDescent="0.35">
      <c r="A15" s="690"/>
      <c r="B15" s="29" t="s">
        <v>68</v>
      </c>
      <c r="C15" s="162">
        <v>0</v>
      </c>
      <c r="D15" s="165">
        <v>0</v>
      </c>
      <c r="E15" s="165">
        <v>0</v>
      </c>
      <c r="F15" s="179">
        <v>8</v>
      </c>
      <c r="G15" s="176">
        <f t="shared" si="0"/>
        <v>8</v>
      </c>
      <c r="H15" s="151" t="e">
        <f>#REF!</f>
        <v>#REF!</v>
      </c>
      <c r="I15" s="151" t="e">
        <f>#REF!</f>
        <v>#REF!</v>
      </c>
      <c r="J15" s="165">
        <v>382</v>
      </c>
      <c r="K15" s="165">
        <v>17</v>
      </c>
      <c r="L15" s="165">
        <v>372</v>
      </c>
      <c r="M15" s="200" t="s">
        <v>148</v>
      </c>
      <c r="N15" s="157"/>
      <c r="O15" s="160"/>
      <c r="P15" s="162"/>
      <c r="Q15" s="165"/>
      <c r="R15" s="165"/>
      <c r="S15" s="165"/>
      <c r="T15" s="165"/>
      <c r="U15" s="168">
        <f t="shared" si="6"/>
        <v>0</v>
      </c>
      <c r="V15" s="162"/>
      <c r="W15" s="167"/>
      <c r="X15" s="25"/>
      <c r="Y15" s="177">
        <f t="shared" si="2"/>
        <v>8</v>
      </c>
      <c r="Z15" s="153"/>
    </row>
    <row r="16" spans="1:26" ht="15" hidden="1" thickBot="1" x14ac:dyDescent="0.35">
      <c r="A16" s="690"/>
      <c r="B16" s="29" t="s">
        <v>88</v>
      </c>
      <c r="C16" s="162">
        <v>95</v>
      </c>
      <c r="D16" s="165">
        <v>71</v>
      </c>
      <c r="E16" s="165">
        <v>14</v>
      </c>
      <c r="F16" s="179">
        <v>441</v>
      </c>
      <c r="G16" s="176">
        <f t="shared" si="0"/>
        <v>621</v>
      </c>
      <c r="H16" s="151" t="e">
        <f>#REF!</f>
        <v>#REF!</v>
      </c>
      <c r="I16" s="151" t="e">
        <f>#REF!</f>
        <v>#REF!</v>
      </c>
      <c r="J16" s="165">
        <v>1239</v>
      </c>
      <c r="K16" s="165">
        <v>195</v>
      </c>
      <c r="L16" s="165">
        <v>1665</v>
      </c>
      <c r="M16" s="200" t="s">
        <v>147</v>
      </c>
      <c r="N16" s="157"/>
      <c r="O16" s="160"/>
      <c r="P16" s="162"/>
      <c r="Q16" s="165"/>
      <c r="R16" s="165"/>
      <c r="S16" s="165"/>
      <c r="T16" s="165"/>
      <c r="U16" s="168">
        <f t="shared" si="6"/>
        <v>0</v>
      </c>
      <c r="V16" s="162"/>
      <c r="W16" s="167"/>
      <c r="X16" s="25"/>
      <c r="Y16" s="177">
        <f t="shared" si="2"/>
        <v>621</v>
      </c>
      <c r="Z16" s="153"/>
    </row>
    <row r="17" spans="1:26" ht="15" hidden="1" thickBot="1" x14ac:dyDescent="0.35">
      <c r="A17" s="690"/>
      <c r="B17" s="159" t="s">
        <v>69</v>
      </c>
      <c r="C17" s="162">
        <v>3</v>
      </c>
      <c r="D17" s="165">
        <v>0</v>
      </c>
      <c r="E17" s="165">
        <v>4</v>
      </c>
      <c r="F17" s="179">
        <v>24</v>
      </c>
      <c r="G17" s="176">
        <f t="shared" si="0"/>
        <v>31</v>
      </c>
      <c r="H17" s="151" t="e">
        <f>#REF!</f>
        <v>#REF!</v>
      </c>
      <c r="I17" s="151" t="e">
        <f>#REF!</f>
        <v>#REF!</v>
      </c>
      <c r="J17" s="165">
        <v>160</v>
      </c>
      <c r="K17" s="165">
        <v>4</v>
      </c>
      <c r="L17" s="165">
        <v>186</v>
      </c>
      <c r="M17" s="200" t="s">
        <v>153</v>
      </c>
      <c r="N17" s="157"/>
      <c r="O17" s="160"/>
      <c r="P17" s="162"/>
      <c r="Q17" s="165"/>
      <c r="R17" s="165"/>
      <c r="S17" s="165"/>
      <c r="T17" s="165"/>
      <c r="U17" s="168">
        <f t="shared" si="6"/>
        <v>0</v>
      </c>
      <c r="V17" s="162"/>
      <c r="W17" s="167"/>
      <c r="X17" s="25"/>
      <c r="Y17" s="177">
        <f t="shared" si="2"/>
        <v>31</v>
      </c>
      <c r="Z17" s="153"/>
    </row>
    <row r="18" spans="1:26" ht="15" hidden="1" thickBot="1" x14ac:dyDescent="0.35">
      <c r="A18" s="690"/>
      <c r="B18" s="159" t="s">
        <v>70</v>
      </c>
      <c r="C18" s="162">
        <v>0</v>
      </c>
      <c r="D18" s="165">
        <v>10</v>
      </c>
      <c r="E18" s="165">
        <v>25</v>
      </c>
      <c r="F18" s="179">
        <v>0</v>
      </c>
      <c r="G18" s="176">
        <f t="shared" si="0"/>
        <v>35</v>
      </c>
      <c r="H18" s="151" t="e">
        <f>#REF!</f>
        <v>#REF!</v>
      </c>
      <c r="I18" s="151" t="e">
        <f>#REF!</f>
        <v>#REF!</v>
      </c>
      <c r="J18" s="165">
        <v>612</v>
      </c>
      <c r="K18" s="165">
        <v>100</v>
      </c>
      <c r="L18" s="165">
        <v>547</v>
      </c>
      <c r="M18" s="200" t="s">
        <v>147</v>
      </c>
      <c r="N18" s="157"/>
      <c r="O18" s="160"/>
      <c r="P18" s="162"/>
      <c r="Q18" s="165"/>
      <c r="R18" s="165"/>
      <c r="S18" s="165"/>
      <c r="T18" s="165"/>
      <c r="U18" s="168">
        <f t="shared" si="6"/>
        <v>0</v>
      </c>
      <c r="V18" s="162"/>
      <c r="W18" s="167"/>
      <c r="X18" s="25"/>
      <c r="Y18" s="177">
        <f t="shared" si="2"/>
        <v>35</v>
      </c>
      <c r="Z18" s="153"/>
    </row>
    <row r="19" spans="1:26" ht="15" hidden="1" thickBot="1" x14ac:dyDescent="0.35">
      <c r="A19" s="690"/>
      <c r="B19" s="159" t="s">
        <v>71</v>
      </c>
      <c r="C19" s="162">
        <v>0</v>
      </c>
      <c r="D19" s="165">
        <v>0</v>
      </c>
      <c r="E19" s="165">
        <v>143</v>
      </c>
      <c r="F19" s="179">
        <v>208</v>
      </c>
      <c r="G19" s="176">
        <f t="shared" si="0"/>
        <v>351</v>
      </c>
      <c r="H19" s="151" t="e">
        <f>#REF!</f>
        <v>#REF!</v>
      </c>
      <c r="I19" s="151" t="e">
        <f>#REF!</f>
        <v>#REF!</v>
      </c>
      <c r="J19" s="165">
        <v>197</v>
      </c>
      <c r="K19" s="165">
        <v>46</v>
      </c>
      <c r="L19" s="165">
        <v>503</v>
      </c>
      <c r="M19" s="200" t="s">
        <v>147</v>
      </c>
      <c r="N19" s="157"/>
      <c r="O19" s="160"/>
      <c r="P19" s="162"/>
      <c r="Q19" s="165"/>
      <c r="R19" s="165"/>
      <c r="S19" s="165"/>
      <c r="T19" s="165"/>
      <c r="U19" s="168">
        <f t="shared" si="6"/>
        <v>0</v>
      </c>
      <c r="V19" s="162"/>
      <c r="W19" s="167"/>
      <c r="X19" s="25"/>
      <c r="Y19" s="177">
        <f t="shared" si="2"/>
        <v>351</v>
      </c>
      <c r="Z19" s="153"/>
    </row>
    <row r="20" spans="1:26" ht="15" hidden="1" thickBot="1" x14ac:dyDescent="0.35">
      <c r="A20" s="690"/>
      <c r="B20" s="159" t="s">
        <v>72</v>
      </c>
      <c r="C20" s="162">
        <v>0</v>
      </c>
      <c r="D20" s="165">
        <v>0</v>
      </c>
      <c r="E20" s="165">
        <v>0</v>
      </c>
      <c r="F20" s="179">
        <v>0</v>
      </c>
      <c r="G20" s="176">
        <v>0</v>
      </c>
      <c r="H20" s="151" t="e">
        <f>#REF!</f>
        <v>#REF!</v>
      </c>
      <c r="I20" s="151" t="e">
        <f>#REF!</f>
        <v>#REF!</v>
      </c>
      <c r="J20" s="165">
        <v>383</v>
      </c>
      <c r="K20" s="165">
        <v>190</v>
      </c>
      <c r="L20" s="165">
        <v>193</v>
      </c>
      <c r="M20" s="200" t="s">
        <v>154</v>
      </c>
      <c r="N20" s="157"/>
      <c r="O20" s="160"/>
      <c r="P20" s="162"/>
      <c r="Q20" s="165"/>
      <c r="R20" s="165"/>
      <c r="S20" s="165"/>
      <c r="T20" s="165"/>
      <c r="U20" s="168">
        <f t="shared" si="6"/>
        <v>0</v>
      </c>
      <c r="V20" s="162"/>
      <c r="W20" s="167"/>
      <c r="X20" s="25"/>
      <c r="Y20" s="177">
        <f t="shared" si="2"/>
        <v>0</v>
      </c>
      <c r="Z20" s="153"/>
    </row>
    <row r="21" spans="1:26" ht="15" hidden="1" thickBot="1" x14ac:dyDescent="0.35">
      <c r="A21" s="690"/>
      <c r="B21" s="159" t="s">
        <v>73</v>
      </c>
      <c r="C21" s="162">
        <v>0</v>
      </c>
      <c r="D21" s="165">
        <v>0</v>
      </c>
      <c r="E21" s="165">
        <v>0</v>
      </c>
      <c r="F21" s="179">
        <v>184</v>
      </c>
      <c r="G21" s="176">
        <f>SUM(C21:F21)</f>
        <v>184</v>
      </c>
      <c r="H21" s="151" t="e">
        <f>#REF!</f>
        <v>#REF!</v>
      </c>
      <c r="I21" s="151" t="e">
        <f>#REF!</f>
        <v>#REF!</v>
      </c>
      <c r="J21" s="165">
        <v>900</v>
      </c>
      <c r="K21" s="165">
        <v>39</v>
      </c>
      <c r="L21" s="165">
        <v>1046</v>
      </c>
      <c r="M21" s="200" t="s">
        <v>147</v>
      </c>
      <c r="N21" s="157"/>
      <c r="O21" s="160"/>
      <c r="P21" s="162"/>
      <c r="Q21" s="165"/>
      <c r="R21" s="165"/>
      <c r="S21" s="165"/>
      <c r="T21" s="165"/>
      <c r="U21" s="168">
        <f t="shared" si="6"/>
        <v>0</v>
      </c>
      <c r="V21" s="162"/>
      <c r="W21" s="167"/>
      <c r="X21" s="25"/>
      <c r="Y21" s="177">
        <f t="shared" si="2"/>
        <v>184</v>
      </c>
      <c r="Z21" s="153"/>
    </row>
    <row r="22" spans="1:26" ht="15" hidden="1" thickBot="1" x14ac:dyDescent="0.35">
      <c r="A22" s="691"/>
      <c r="B22" s="24" t="s">
        <v>74</v>
      </c>
      <c r="C22" s="78">
        <v>0</v>
      </c>
      <c r="D22" s="164">
        <v>8</v>
      </c>
      <c r="E22" s="164">
        <v>8</v>
      </c>
      <c r="F22" s="186">
        <v>293</v>
      </c>
      <c r="G22" s="171">
        <f>SUM(C22:F22)</f>
        <v>309</v>
      </c>
      <c r="H22" s="214" t="e">
        <f>#REF!</f>
        <v>#REF!</v>
      </c>
      <c r="I22" s="214" t="e">
        <f>#REF!</f>
        <v>#REF!</v>
      </c>
      <c r="J22" s="164">
        <v>226</v>
      </c>
      <c r="K22" s="164">
        <v>41</v>
      </c>
      <c r="L22" s="164">
        <v>495</v>
      </c>
      <c r="M22" s="201" t="s">
        <v>148</v>
      </c>
      <c r="N22" s="157"/>
      <c r="O22" s="27"/>
      <c r="P22" s="78"/>
      <c r="Q22" s="164"/>
      <c r="R22" s="164"/>
      <c r="S22" s="164"/>
      <c r="T22" s="164"/>
      <c r="U22" s="90">
        <f t="shared" si="6"/>
        <v>0</v>
      </c>
      <c r="V22" s="78"/>
      <c r="W22" s="73"/>
      <c r="X22" s="26"/>
      <c r="Y22" s="110">
        <f t="shared" si="2"/>
        <v>309</v>
      </c>
      <c r="Z22" s="153"/>
    </row>
    <row r="23" spans="1:26" ht="15" hidden="1" thickBot="1" x14ac:dyDescent="0.35">
      <c r="A23" s="161" t="s">
        <v>14</v>
      </c>
      <c r="B23" s="121" t="s">
        <v>173</v>
      </c>
      <c r="C23" s="72">
        <f>SUM(C14:C22)</f>
        <v>880</v>
      </c>
      <c r="D23" s="163">
        <f>SUM(D14:D22)</f>
        <v>493</v>
      </c>
      <c r="E23" s="163">
        <f t="shared" ref="E23:F23" si="7">SUM(E14:E22)</f>
        <v>740</v>
      </c>
      <c r="F23" s="180">
        <f t="shared" si="7"/>
        <v>2149</v>
      </c>
      <c r="G23" s="163">
        <f>SUM(C23:F23)</f>
        <v>4262</v>
      </c>
      <c r="H23" s="217" t="e">
        <f>#REF!</f>
        <v>#REF!</v>
      </c>
      <c r="I23" s="217" t="e">
        <f>#REF!</f>
        <v>#REF!</v>
      </c>
      <c r="J23" s="163">
        <f t="shared" ref="J23" si="8">SUM(J14:J22)</f>
        <v>4396</v>
      </c>
      <c r="K23" s="163">
        <f>SUM(K14:K22)</f>
        <v>837</v>
      </c>
      <c r="L23" s="163">
        <f>SUM(L14:L22)</f>
        <v>7821</v>
      </c>
      <c r="M23" s="202"/>
      <c r="N23" s="157"/>
      <c r="O23" s="58"/>
      <c r="P23" s="72">
        <f>SUM(P14:P22)</f>
        <v>0</v>
      </c>
      <c r="Q23" s="163">
        <f>SUM(Q14:Q22)</f>
        <v>0</v>
      </c>
      <c r="R23" s="163">
        <f t="shared" ref="R23:T23" si="9">SUM(R14:R22)</f>
        <v>0</v>
      </c>
      <c r="S23" s="163">
        <f t="shared" si="9"/>
        <v>0</v>
      </c>
      <c r="T23" s="163">
        <f t="shared" si="9"/>
        <v>0</v>
      </c>
      <c r="U23" s="75">
        <f t="shared" si="6"/>
        <v>0</v>
      </c>
      <c r="V23" s="72">
        <f>SUM(V14:V22)</f>
        <v>0</v>
      </c>
      <c r="W23" s="75">
        <f>SUM(W14:W22)</f>
        <v>0</v>
      </c>
      <c r="X23" s="49"/>
      <c r="Y23" s="114">
        <f t="shared" si="2"/>
        <v>4262</v>
      </c>
      <c r="Z23" s="153"/>
    </row>
    <row r="24" spans="1:26" ht="15" hidden="1" thickBot="1" x14ac:dyDescent="0.35">
      <c r="A24" s="754" t="s">
        <v>129</v>
      </c>
      <c r="B24" s="159" t="s">
        <v>20</v>
      </c>
      <c r="C24" s="162">
        <v>1573.7891420000001</v>
      </c>
      <c r="D24" s="165">
        <v>163.16569699999999</v>
      </c>
      <c r="E24" s="165">
        <v>2418.411987</v>
      </c>
      <c r="F24" s="179">
        <v>565.98814000000004</v>
      </c>
      <c r="G24" s="165">
        <f>SUM(C24:F24)</f>
        <v>4721.3549659999999</v>
      </c>
      <c r="H24" s="216" t="e">
        <f>#REF!</f>
        <v>#REF!</v>
      </c>
      <c r="I24" s="216" t="e">
        <f>#REF!</f>
        <v>#REF!</v>
      </c>
      <c r="J24" s="165">
        <v>343.88704300000001</v>
      </c>
      <c r="K24" s="165">
        <v>811.97203400000001</v>
      </c>
      <c r="L24" s="165">
        <v>4253.2699759999996</v>
      </c>
      <c r="M24" s="203" t="s">
        <v>56</v>
      </c>
      <c r="N24" s="157"/>
      <c r="O24" s="160" t="s">
        <v>57</v>
      </c>
      <c r="P24" s="162">
        <v>497.58506499999999</v>
      </c>
      <c r="Q24" s="165">
        <v>143.29147399999999</v>
      </c>
      <c r="R24" s="165">
        <v>862.97542999999996</v>
      </c>
      <c r="S24" s="165">
        <v>157.714631</v>
      </c>
      <c r="T24" s="165">
        <v>85.922109000000006</v>
      </c>
      <c r="U24" s="167">
        <f t="shared" si="6"/>
        <v>1747.488709</v>
      </c>
      <c r="V24" s="162">
        <v>1747.4887080000001</v>
      </c>
      <c r="W24" s="167">
        <v>0</v>
      </c>
      <c r="X24" s="25" t="s">
        <v>58</v>
      </c>
      <c r="Y24" s="113">
        <f t="shared" si="2"/>
        <v>6468.8436750000001</v>
      </c>
      <c r="Z24" s="153"/>
    </row>
    <row r="25" spans="1:26" ht="15" hidden="1" thickBot="1" x14ac:dyDescent="0.35">
      <c r="A25" s="755"/>
      <c r="B25" s="104" t="s">
        <v>59</v>
      </c>
      <c r="C25" s="84">
        <v>0</v>
      </c>
      <c r="D25" s="176">
        <v>0</v>
      </c>
      <c r="E25" s="176">
        <v>0</v>
      </c>
      <c r="F25" s="181">
        <v>7.6005200000000004</v>
      </c>
      <c r="G25" s="176">
        <f>SUM(C25:F25)</f>
        <v>7.6005200000000004</v>
      </c>
      <c r="H25" s="151" t="e">
        <f>#REF!</f>
        <v>#REF!</v>
      </c>
      <c r="I25" s="151" t="e">
        <f>#REF!</f>
        <v>#REF!</v>
      </c>
      <c r="J25" s="176">
        <v>668.43455600000004</v>
      </c>
      <c r="K25" s="176">
        <v>26.118659999999998</v>
      </c>
      <c r="L25" s="176">
        <v>650.04985599999998</v>
      </c>
      <c r="M25" s="204" t="s">
        <v>60</v>
      </c>
      <c r="N25" s="157"/>
      <c r="O25" s="103" t="s">
        <v>57</v>
      </c>
      <c r="P25" s="84">
        <v>0</v>
      </c>
      <c r="Q25" s="176">
        <v>0</v>
      </c>
      <c r="R25" s="176">
        <v>0</v>
      </c>
      <c r="S25" s="176">
        <v>0</v>
      </c>
      <c r="T25" s="176">
        <v>43.571154</v>
      </c>
      <c r="U25" s="168">
        <f t="shared" si="6"/>
        <v>43.571154</v>
      </c>
      <c r="V25" s="84">
        <v>43.571154</v>
      </c>
      <c r="W25" s="168">
        <v>0</v>
      </c>
      <c r="X25" s="51" t="s">
        <v>58</v>
      </c>
      <c r="Y25" s="177">
        <f t="shared" si="2"/>
        <v>51.171674000000003</v>
      </c>
      <c r="Z25" s="153"/>
    </row>
    <row r="26" spans="1:26" ht="15" hidden="1" thickBot="1" x14ac:dyDescent="0.35">
      <c r="A26" s="756"/>
      <c r="B26" s="17" t="s">
        <v>61</v>
      </c>
      <c r="C26" s="96">
        <v>0</v>
      </c>
      <c r="D26" s="171">
        <v>0</v>
      </c>
      <c r="E26" s="171">
        <v>0</v>
      </c>
      <c r="F26" s="147">
        <v>0</v>
      </c>
      <c r="G26" s="171">
        <v>0</v>
      </c>
      <c r="H26" s="214" t="e">
        <f>#REF!</f>
        <v>#REF!</v>
      </c>
      <c r="I26" s="214" t="e">
        <f>#REF!</f>
        <v>#REF!</v>
      </c>
      <c r="J26" s="171">
        <v>64.410450999999995</v>
      </c>
      <c r="K26" s="171">
        <v>0</v>
      </c>
      <c r="L26" s="171">
        <v>64.277010000000004</v>
      </c>
      <c r="M26" s="205">
        <v>2017</v>
      </c>
      <c r="N26" s="157"/>
      <c r="O26" s="16" t="s">
        <v>57</v>
      </c>
      <c r="P26" s="96">
        <v>86.873819999999995</v>
      </c>
      <c r="Q26" s="171">
        <v>0</v>
      </c>
      <c r="R26" s="171">
        <v>31.200416000000001</v>
      </c>
      <c r="S26" s="171">
        <v>0</v>
      </c>
      <c r="T26" s="171">
        <v>11.304932000000001</v>
      </c>
      <c r="U26" s="90">
        <f t="shared" si="6"/>
        <v>129.37916799999999</v>
      </c>
      <c r="V26" s="96">
        <v>129.37916799999999</v>
      </c>
      <c r="W26" s="90">
        <v>0</v>
      </c>
      <c r="X26" s="54" t="s">
        <v>58</v>
      </c>
      <c r="Y26" s="110">
        <f t="shared" si="2"/>
        <v>129.37916799999999</v>
      </c>
      <c r="Z26" s="153"/>
    </row>
    <row r="27" spans="1:26" ht="15" hidden="1" thickBot="1" x14ac:dyDescent="0.35">
      <c r="A27" s="20" t="s">
        <v>14</v>
      </c>
      <c r="B27" s="63" t="s">
        <v>171</v>
      </c>
      <c r="C27" s="87">
        <f>SUM(C24:C26)</f>
        <v>1573.7891420000001</v>
      </c>
      <c r="D27" s="175">
        <f>SUM(D24:D26)</f>
        <v>163.16569699999999</v>
      </c>
      <c r="E27" s="175">
        <f t="shared" ref="E27:F27" si="10">SUM(E24:E26)</f>
        <v>2418.411987</v>
      </c>
      <c r="F27" s="192">
        <f t="shared" si="10"/>
        <v>573.58866</v>
      </c>
      <c r="G27" s="163">
        <f>SUM(C27:F27)</f>
        <v>4728.9554859999998</v>
      </c>
      <c r="H27" s="218" t="e">
        <f>#REF!</f>
        <v>#REF!</v>
      </c>
      <c r="I27" s="218" t="e">
        <f>#REF!</f>
        <v>#REF!</v>
      </c>
      <c r="J27" s="175">
        <f t="shared" ref="J27" si="11">SUM(J24:J26)</f>
        <v>1076.7320500000001</v>
      </c>
      <c r="K27" s="175">
        <f>SUM(K24:K26)</f>
        <v>838.09069399999998</v>
      </c>
      <c r="L27" s="175">
        <f>SUM(L24:L26)</f>
        <v>4967.596841999999</v>
      </c>
      <c r="M27" s="206"/>
      <c r="N27" s="157"/>
      <c r="O27" s="21"/>
      <c r="P27" s="87">
        <f>SUM(P24:P26)</f>
        <v>584.45888500000001</v>
      </c>
      <c r="Q27" s="175">
        <f>SUM(Q24:Q26)</f>
        <v>143.29147399999999</v>
      </c>
      <c r="R27" s="175">
        <f t="shared" ref="R27:X27" si="12">SUM(R24:R26)</f>
        <v>894.17584599999998</v>
      </c>
      <c r="S27" s="175">
        <f t="shared" si="12"/>
        <v>157.714631</v>
      </c>
      <c r="T27" s="175">
        <f t="shared" si="12"/>
        <v>140.79819500000002</v>
      </c>
      <c r="U27" s="75">
        <f t="shared" si="6"/>
        <v>1920.4390310000001</v>
      </c>
      <c r="V27" s="87">
        <f>SUM(V24:V26)</f>
        <v>1920.43903</v>
      </c>
      <c r="W27" s="98">
        <f t="shared" si="12"/>
        <v>0</v>
      </c>
      <c r="X27" s="55">
        <f t="shared" si="12"/>
        <v>0</v>
      </c>
      <c r="Y27" s="114">
        <f t="shared" si="2"/>
        <v>6649.3945169999997</v>
      </c>
      <c r="Z27" s="35"/>
    </row>
    <row r="28" spans="1:26" ht="15" hidden="1" thickBot="1" x14ac:dyDescent="0.35">
      <c r="A28" s="188" t="s">
        <v>7</v>
      </c>
      <c r="B28" s="189" t="s">
        <v>130</v>
      </c>
      <c r="C28" s="222">
        <f t="shared" ref="C28:L28" si="13">C13+C23+C27</f>
        <v>2453.7891420000001</v>
      </c>
      <c r="D28" s="223">
        <f t="shared" si="13"/>
        <v>1367.1656969999999</v>
      </c>
      <c r="E28" s="223">
        <f t="shared" si="13"/>
        <v>9555.4119869999995</v>
      </c>
      <c r="F28" s="223">
        <f t="shared" si="13"/>
        <v>11610.588659999999</v>
      </c>
      <c r="G28" s="223">
        <f t="shared" si="13"/>
        <v>24986.955485999999</v>
      </c>
      <c r="H28" s="223" t="e">
        <f t="shared" si="13"/>
        <v>#REF!</v>
      </c>
      <c r="I28" s="223" t="e">
        <f t="shared" ref="I28" si="14">I13+I23+I27</f>
        <v>#REF!</v>
      </c>
      <c r="J28" s="223">
        <f t="shared" si="13"/>
        <v>14050.732050000001</v>
      </c>
      <c r="K28" s="223">
        <f t="shared" si="13"/>
        <v>6476.0906940000004</v>
      </c>
      <c r="L28" s="223">
        <f t="shared" si="13"/>
        <v>32561.596841999999</v>
      </c>
      <c r="M28" s="224"/>
      <c r="N28" s="157"/>
      <c r="O28" s="65"/>
      <c r="P28" s="95">
        <f t="shared" ref="P28:W28" si="15">+P13+P23+P27</f>
        <v>584.45888500000001</v>
      </c>
      <c r="Q28" s="92">
        <f t="shared" si="15"/>
        <v>143.29147399999999</v>
      </c>
      <c r="R28" s="92">
        <f t="shared" si="15"/>
        <v>10894.175846</v>
      </c>
      <c r="S28" s="92">
        <f t="shared" si="15"/>
        <v>5737.7146309999998</v>
      </c>
      <c r="T28" s="92">
        <f t="shared" si="15"/>
        <v>5333.7981950000003</v>
      </c>
      <c r="U28" s="118">
        <f t="shared" si="15"/>
        <v>22693.439031000002</v>
      </c>
      <c r="V28" s="95">
        <f t="shared" si="15"/>
        <v>10229.63903</v>
      </c>
      <c r="W28" s="89">
        <f t="shared" si="15"/>
        <v>12463.8</v>
      </c>
      <c r="X28" s="66"/>
      <c r="Y28" s="117">
        <f>+Y13+Y23+Y27</f>
        <v>47680.394517000001</v>
      </c>
      <c r="Z28" s="35"/>
    </row>
    <row r="29" spans="1:26" ht="15" hidden="1" thickBot="1" x14ac:dyDescent="0.35">
      <c r="A29" s="243"/>
      <c r="B29" s="275" t="s">
        <v>180</v>
      </c>
      <c r="C29" s="276" t="e">
        <f>#REF!</f>
        <v>#REF!</v>
      </c>
      <c r="D29" s="277" t="e">
        <f>#REF!</f>
        <v>#REF!</v>
      </c>
      <c r="E29" s="277" t="e">
        <f>#REF!</f>
        <v>#REF!</v>
      </c>
      <c r="F29" s="277" t="e">
        <f>#REF!</f>
        <v>#REF!</v>
      </c>
      <c r="G29" s="277" t="e">
        <f>#REF!</f>
        <v>#REF!</v>
      </c>
      <c r="H29" s="277"/>
      <c r="I29" s="277"/>
      <c r="J29" s="277" t="e">
        <f>#REF!</f>
        <v>#REF!</v>
      </c>
      <c r="K29" s="277"/>
      <c r="L29" s="277"/>
      <c r="M29" s="278"/>
      <c r="N29" s="157"/>
      <c r="O29" s="37"/>
      <c r="P29" s="145"/>
      <c r="Q29" s="173"/>
      <c r="R29" s="173"/>
      <c r="S29" s="173"/>
      <c r="T29" s="173"/>
      <c r="U29" s="190"/>
      <c r="V29" s="145"/>
      <c r="W29" s="172"/>
      <c r="X29" s="53"/>
      <c r="Y29" s="219"/>
      <c r="Z29" s="35"/>
    </row>
    <row r="30" spans="1:26" x14ac:dyDescent="0.3">
      <c r="A30" s="689" t="str">
        <f>'IBS Action Plan 20170131'!A30:A40</f>
        <v>BCTS PG</v>
      </c>
      <c r="B30" s="279" t="str">
        <f>'IBS Action Plan 20170131'!B30</f>
        <v>Angusmac</v>
      </c>
      <c r="C30" s="79">
        <f>'IBS Action Plan 20170131'!C30</f>
        <v>0</v>
      </c>
      <c r="D30" s="79">
        <f>'IBS Action Plan 20170131'!D30</f>
        <v>27</v>
      </c>
      <c r="E30" s="79">
        <f>'IBS Action Plan 20170131'!E30</f>
        <v>0</v>
      </c>
      <c r="F30" s="79">
        <f>'IBS Action Plan 20170131'!F30</f>
        <v>43</v>
      </c>
      <c r="G30" s="79">
        <f>'IBS Action Plan 20170131'!G30</f>
        <v>70</v>
      </c>
      <c r="H30" s="79">
        <f>'IBS Action Plan 20170131'!H30</f>
        <v>48.5</v>
      </c>
      <c r="I30" s="425">
        <f>'IBS Action Plan 20170131'!I30</f>
        <v>0.69285714285714284</v>
      </c>
      <c r="J30" s="79">
        <f>'IBS Action Plan 20170131'!J30</f>
        <v>94</v>
      </c>
      <c r="K30" s="79">
        <f>'IBS Action Plan 20170131'!K30</f>
        <v>1</v>
      </c>
      <c r="L30" s="79">
        <f>'IBS Action Plan 20170131'!L30</f>
        <v>163</v>
      </c>
      <c r="M30" s="79" t="str">
        <f>'IBS Action Plan 20170131'!N30</f>
        <v xml:space="preserve"> 2018 - 19  </v>
      </c>
      <c r="N30" s="32"/>
      <c r="O30" s="280">
        <f>'IBS Action Plan 20170131'!P30</f>
        <v>0</v>
      </c>
      <c r="P30" s="281">
        <f>'IBS Action Plan 20170131'!Q30</f>
        <v>0</v>
      </c>
      <c r="Q30" s="281">
        <f>'IBS Action Plan 20170131'!R30</f>
        <v>0</v>
      </c>
      <c r="R30" s="281">
        <f>'IBS Action Plan 20170131'!S30</f>
        <v>0</v>
      </c>
      <c r="S30" s="281">
        <f>'IBS Action Plan 20170131'!T30</f>
        <v>0</v>
      </c>
      <c r="T30" s="281">
        <f>'IBS Action Plan 20170131'!U30</f>
        <v>0</v>
      </c>
      <c r="U30" s="281">
        <f>'IBS Action Plan 20170131'!V30</f>
        <v>0</v>
      </c>
      <c r="V30" s="281">
        <f>'IBS Action Plan 20170131'!W30</f>
        <v>0</v>
      </c>
      <c r="W30" s="281">
        <f>'IBS Action Plan 20170131'!X30</f>
        <v>0</v>
      </c>
      <c r="X30" s="281">
        <f>'IBS Action Plan 20170131'!Y30</f>
        <v>0</v>
      </c>
      <c r="Y30" s="281">
        <f>'IBS Action Plan 20170131'!Z30</f>
        <v>164</v>
      </c>
      <c r="Z30" s="153"/>
    </row>
    <row r="31" spans="1:26" x14ac:dyDescent="0.3">
      <c r="A31" s="748"/>
      <c r="B31" s="159" t="str">
        <f>'IBS Action Plan 20170131'!B31</f>
        <v>Chuchinka</v>
      </c>
      <c r="C31" s="162">
        <f>'IBS Action Plan 20170131'!C31</f>
        <v>0</v>
      </c>
      <c r="D31" s="162">
        <f>'IBS Action Plan 20170131'!D31</f>
        <v>0</v>
      </c>
      <c r="E31" s="162">
        <f>'IBS Action Plan 20170131'!E31</f>
        <v>0</v>
      </c>
      <c r="F31" s="162">
        <f>'IBS Action Plan 20170131'!F31</f>
        <v>55</v>
      </c>
      <c r="G31" s="162">
        <f>'IBS Action Plan 20170131'!G31</f>
        <v>55</v>
      </c>
      <c r="H31" s="162">
        <f>'IBS Action Plan 20170131'!H31</f>
        <v>27.5</v>
      </c>
      <c r="I31" s="426">
        <f>'IBS Action Plan 20170131'!I31</f>
        <v>0.5</v>
      </c>
      <c r="J31" s="162">
        <f>'IBS Action Plan 20170131'!J31</f>
        <v>34</v>
      </c>
      <c r="K31" s="162" t="str">
        <f>'IBS Action Plan 20170131'!K31</f>
        <v xml:space="preserve">             -  </v>
      </c>
      <c r="L31" s="162">
        <f>'IBS Action Plan 20170131'!L31</f>
        <v>89</v>
      </c>
      <c r="M31" s="162" t="str">
        <f>'IBS Action Plan 20170131'!N31</f>
        <v xml:space="preserve"> 2019 - 20  </v>
      </c>
      <c r="N31" s="130"/>
      <c r="O31" s="282">
        <f>'IBS Action Plan 20170131'!P31</f>
        <v>0</v>
      </c>
      <c r="P31" s="283">
        <f>'IBS Action Plan 20170131'!Q31</f>
        <v>0</v>
      </c>
      <c r="Q31" s="283">
        <f>'IBS Action Plan 20170131'!R31</f>
        <v>0</v>
      </c>
      <c r="R31" s="283">
        <f>'IBS Action Plan 20170131'!S31</f>
        <v>0</v>
      </c>
      <c r="S31" s="283">
        <f>'IBS Action Plan 20170131'!T31</f>
        <v>0</v>
      </c>
      <c r="T31" s="283">
        <f>'IBS Action Plan 20170131'!U31</f>
        <v>0</v>
      </c>
      <c r="U31" s="283">
        <f>'IBS Action Plan 20170131'!V31</f>
        <v>0</v>
      </c>
      <c r="V31" s="283">
        <f>'IBS Action Plan 20170131'!W31</f>
        <v>0</v>
      </c>
      <c r="W31" s="283">
        <f>'IBS Action Plan 20170131'!X31</f>
        <v>0</v>
      </c>
      <c r="X31" s="283">
        <f>'IBS Action Plan 20170131'!Y31</f>
        <v>0</v>
      </c>
      <c r="Y31" s="283">
        <f>'IBS Action Plan 20170131'!Z31</f>
        <v>89</v>
      </c>
      <c r="Z31" s="153"/>
    </row>
    <row r="32" spans="1:26" x14ac:dyDescent="0.3">
      <c r="A32" s="748"/>
      <c r="B32" s="159" t="str">
        <f>'IBS Action Plan 20170131'!B32</f>
        <v>Colburne</v>
      </c>
      <c r="C32" s="162">
        <f>'IBS Action Plan 20170131'!C32</f>
        <v>0</v>
      </c>
      <c r="D32" s="162">
        <f>'IBS Action Plan 20170131'!D32</f>
        <v>8</v>
      </c>
      <c r="E32" s="162">
        <f>'IBS Action Plan 20170131'!E32</f>
        <v>268</v>
      </c>
      <c r="F32" s="162">
        <f>'IBS Action Plan 20170131'!F32</f>
        <v>2160</v>
      </c>
      <c r="G32" s="162">
        <f>'IBS Action Plan 20170131'!G32</f>
        <v>2436</v>
      </c>
      <c r="H32" s="162">
        <f>'IBS Action Plan 20170131'!H32</f>
        <v>1356</v>
      </c>
      <c r="I32" s="426">
        <f>'IBS Action Plan 20170131'!I32</f>
        <v>0.55665024630541871</v>
      </c>
      <c r="J32" s="162">
        <f>'IBS Action Plan 20170131'!J32</f>
        <v>542</v>
      </c>
      <c r="K32" s="162">
        <f>'IBS Action Plan 20170131'!K32</f>
        <v>285</v>
      </c>
      <c r="L32" s="162">
        <f>'IBS Action Plan 20170131'!L32</f>
        <v>2692</v>
      </c>
      <c r="M32" s="162" t="str">
        <f>'IBS Action Plan 20170131'!N32</f>
        <v xml:space="preserve"> 2017 - 18  </v>
      </c>
      <c r="N32" s="130"/>
      <c r="O32" s="282" t="str">
        <f>'IBS Action Plan 20170131'!P32</f>
        <v>Economic</v>
      </c>
      <c r="P32" s="283">
        <f>'IBS Action Plan 20170131'!Q32</f>
        <v>0</v>
      </c>
      <c r="Q32" s="283">
        <f>'IBS Action Plan 20170131'!R32</f>
        <v>0</v>
      </c>
      <c r="R32" s="283">
        <f>'IBS Action Plan 20170131'!S32</f>
        <v>0</v>
      </c>
      <c r="S32" s="283">
        <f>'IBS Action Plan 20170131'!T32</f>
        <v>0</v>
      </c>
      <c r="T32" s="283">
        <f>'IBS Action Plan 20170131'!U32</f>
        <v>28</v>
      </c>
      <c r="U32" s="283">
        <f>'IBS Action Plan 20170131'!V32</f>
        <v>28</v>
      </c>
      <c r="V32" s="283">
        <f>'IBS Action Plan 20170131'!W32</f>
        <v>11.200000000000001</v>
      </c>
      <c r="W32" s="283">
        <f>'IBS Action Plan 20170131'!X32</f>
        <v>16.8</v>
      </c>
      <c r="X32" s="283" t="str">
        <f>'IBS Action Plan 20170131'!Y32</f>
        <v xml:space="preserve">Isolated </v>
      </c>
      <c r="Y32" s="283">
        <f>'IBS Action Plan 20170131'!Z32</f>
        <v>3006</v>
      </c>
      <c r="Z32" s="153"/>
    </row>
    <row r="33" spans="1:26" x14ac:dyDescent="0.3">
      <c r="A33" s="748"/>
      <c r="B33" s="159" t="str">
        <f>'IBS Action Plan 20170131'!B33</f>
        <v>Dome</v>
      </c>
      <c r="C33" s="162">
        <f>'IBS Action Plan 20170131'!C33</f>
        <v>0</v>
      </c>
      <c r="D33" s="162">
        <f>'IBS Action Plan 20170131'!D33</f>
        <v>0</v>
      </c>
      <c r="E33" s="162">
        <f>'IBS Action Plan 20170131'!E33</f>
        <v>0</v>
      </c>
      <c r="F33" s="162">
        <f>'IBS Action Plan 20170131'!F33</f>
        <v>0</v>
      </c>
      <c r="G33" s="162">
        <f>'IBS Action Plan 20170131'!G33</f>
        <v>0</v>
      </c>
      <c r="H33" s="162">
        <f>'IBS Action Plan 20170131'!H33</f>
        <v>0</v>
      </c>
      <c r="I33" s="426">
        <f>'IBS Action Plan 20170131'!I33</f>
        <v>0</v>
      </c>
      <c r="J33" s="162">
        <f>'IBS Action Plan 20170131'!J33</f>
        <v>0</v>
      </c>
      <c r="K33" s="162" t="str">
        <f>'IBS Action Plan 20170131'!K33</f>
        <v xml:space="preserve">             -  </v>
      </c>
      <c r="L33" s="162" t="str">
        <f>'IBS Action Plan 20170131'!L33</f>
        <v xml:space="preserve">                    -  </v>
      </c>
      <c r="M33" s="162">
        <f>'IBS Action Plan 20170131'!N33</f>
        <v>0</v>
      </c>
      <c r="N33" s="130"/>
      <c r="O33" s="282" t="str">
        <f>'IBS Action Plan 20170131'!P33</f>
        <v>Economic</v>
      </c>
      <c r="P33" s="283">
        <f>'IBS Action Plan 20170131'!Q33</f>
        <v>0</v>
      </c>
      <c r="Q33" s="283">
        <f>'IBS Action Plan 20170131'!R33</f>
        <v>0</v>
      </c>
      <c r="R33" s="283">
        <f>'IBS Action Plan 20170131'!S33</f>
        <v>0</v>
      </c>
      <c r="S33" s="283">
        <f>'IBS Action Plan 20170131'!T33</f>
        <v>0</v>
      </c>
      <c r="T33" s="283">
        <f>'IBS Action Plan 20170131'!U33</f>
        <v>70</v>
      </c>
      <c r="U33" s="283">
        <f>'IBS Action Plan 20170131'!V33</f>
        <v>70</v>
      </c>
      <c r="V33" s="283">
        <f>'IBS Action Plan 20170131'!W33</f>
        <v>28</v>
      </c>
      <c r="W33" s="283">
        <f>'IBS Action Plan 20170131'!X33</f>
        <v>42</v>
      </c>
      <c r="X33" s="283" t="str">
        <f>'IBS Action Plan 20170131'!Y33</f>
        <v xml:space="preserve">Isolated </v>
      </c>
      <c r="Y33" s="283">
        <f>'IBS Action Plan 20170131'!Z33</f>
        <v>70</v>
      </c>
      <c r="Z33" s="153"/>
    </row>
    <row r="34" spans="1:26" x14ac:dyDescent="0.3">
      <c r="A34" s="748"/>
      <c r="B34" s="159" t="str">
        <f>'IBS Action Plan 20170131'!B34</f>
        <v>Firth</v>
      </c>
      <c r="C34" s="162">
        <f>'IBS Action Plan 20170131'!C34</f>
        <v>0</v>
      </c>
      <c r="D34" s="162">
        <f>'IBS Action Plan 20170131'!D34</f>
        <v>92</v>
      </c>
      <c r="E34" s="162">
        <f>'IBS Action Plan 20170131'!E34</f>
        <v>69</v>
      </c>
      <c r="F34" s="162">
        <f>'IBS Action Plan 20170131'!F34</f>
        <v>627</v>
      </c>
      <c r="G34" s="162">
        <f>'IBS Action Plan 20170131'!G34</f>
        <v>788</v>
      </c>
      <c r="H34" s="162">
        <f>'IBS Action Plan 20170131'!H34</f>
        <v>474.5</v>
      </c>
      <c r="I34" s="426">
        <f>'IBS Action Plan 20170131'!I34</f>
        <v>0.60215736040609136</v>
      </c>
      <c r="J34" s="162">
        <f>'IBS Action Plan 20170131'!J34</f>
        <v>324</v>
      </c>
      <c r="K34" s="162">
        <f>'IBS Action Plan 20170131'!K34</f>
        <v>13</v>
      </c>
      <c r="L34" s="162">
        <f>'IBS Action Plan 20170131'!L34</f>
        <v>1099</v>
      </c>
      <c r="M34" s="162" t="str">
        <f>'IBS Action Plan 20170131'!N34</f>
        <v xml:space="preserve"> 2019 - 20 </v>
      </c>
      <c r="N34" s="130"/>
      <c r="O34" s="282">
        <f>'IBS Action Plan 20170131'!P34</f>
        <v>0</v>
      </c>
      <c r="P34" s="283">
        <f>'IBS Action Plan 20170131'!Q34</f>
        <v>0</v>
      </c>
      <c r="Q34" s="283">
        <f>'IBS Action Plan 20170131'!R34</f>
        <v>0</v>
      </c>
      <c r="R34" s="283">
        <f>'IBS Action Plan 20170131'!S34</f>
        <v>0</v>
      </c>
      <c r="S34" s="283">
        <f>'IBS Action Plan 20170131'!T34</f>
        <v>0</v>
      </c>
      <c r="T34" s="283">
        <f>'IBS Action Plan 20170131'!U34</f>
        <v>0</v>
      </c>
      <c r="U34" s="283">
        <f>'IBS Action Plan 20170131'!V34</f>
        <v>0</v>
      </c>
      <c r="V34" s="283">
        <f>'IBS Action Plan 20170131'!W34</f>
        <v>0</v>
      </c>
      <c r="W34" s="283">
        <f>'IBS Action Plan 20170131'!X34</f>
        <v>0</v>
      </c>
      <c r="X34" s="283">
        <f>'IBS Action Plan 20170131'!Y34</f>
        <v>0</v>
      </c>
      <c r="Y34" s="283">
        <f>'IBS Action Plan 20170131'!Z34</f>
        <v>1112</v>
      </c>
      <c r="Z34" s="153"/>
    </row>
    <row r="35" spans="1:26" x14ac:dyDescent="0.3">
      <c r="A35" s="748"/>
      <c r="B35" s="159" t="str">
        <f>'IBS Action Plan 20170131'!B35</f>
        <v>Hominka</v>
      </c>
      <c r="C35" s="162">
        <f>'IBS Action Plan 20170131'!C35</f>
        <v>0</v>
      </c>
      <c r="D35" s="162">
        <f>'IBS Action Plan 20170131'!D35</f>
        <v>17</v>
      </c>
      <c r="E35" s="162">
        <f>'IBS Action Plan 20170131'!E35</f>
        <v>1023</v>
      </c>
      <c r="F35" s="162">
        <f>'IBS Action Plan 20170131'!F35</f>
        <v>2950</v>
      </c>
      <c r="G35" s="162">
        <f>'IBS Action Plan 20170131'!G35</f>
        <v>3990</v>
      </c>
      <c r="H35" s="162">
        <f>'IBS Action Plan 20170131'!H35</f>
        <v>2515</v>
      </c>
      <c r="I35" s="426">
        <f>'IBS Action Plan 20170131'!I35</f>
        <v>0.63032581453634084</v>
      </c>
      <c r="J35" s="162">
        <f>'IBS Action Plan 20170131'!J35</f>
        <v>299</v>
      </c>
      <c r="K35" s="162">
        <f>'IBS Action Plan 20170131'!K35</f>
        <v>1822</v>
      </c>
      <c r="L35" s="162">
        <f>'IBS Action Plan 20170131'!L35</f>
        <v>2468</v>
      </c>
      <c r="M35" s="162" t="str">
        <f>'IBS Action Plan 20170131'!N35</f>
        <v xml:space="preserve"> 2018 - 19  </v>
      </c>
      <c r="N35" s="130"/>
      <c r="O35" s="282">
        <f>'IBS Action Plan 20170131'!P35</f>
        <v>0</v>
      </c>
      <c r="P35" s="283">
        <f>'IBS Action Plan 20170131'!Q35</f>
        <v>0</v>
      </c>
      <c r="Q35" s="283">
        <f>'IBS Action Plan 20170131'!R35</f>
        <v>0</v>
      </c>
      <c r="R35" s="283">
        <f>'IBS Action Plan 20170131'!S35</f>
        <v>0</v>
      </c>
      <c r="S35" s="283">
        <f>'IBS Action Plan 20170131'!T35</f>
        <v>0</v>
      </c>
      <c r="T35" s="283">
        <f>'IBS Action Plan 20170131'!U35</f>
        <v>0</v>
      </c>
      <c r="U35" s="283">
        <f>'IBS Action Plan 20170131'!V35</f>
        <v>0</v>
      </c>
      <c r="V35" s="283">
        <f>'IBS Action Plan 20170131'!W35</f>
        <v>0</v>
      </c>
      <c r="W35" s="283">
        <f>'IBS Action Plan 20170131'!X35</f>
        <v>0</v>
      </c>
      <c r="X35" s="283">
        <f>'IBS Action Plan 20170131'!Y35</f>
        <v>0</v>
      </c>
      <c r="Y35" s="283">
        <f>'IBS Action Plan 20170131'!Z35</f>
        <v>4289</v>
      </c>
      <c r="Z35" s="153"/>
    </row>
    <row r="36" spans="1:26" x14ac:dyDescent="0.3">
      <c r="A36" s="748"/>
      <c r="B36" s="159" t="str">
        <f>'IBS Action Plan 20170131'!B36</f>
        <v>Mcleod</v>
      </c>
      <c r="C36" s="162">
        <f>'IBS Action Plan 20170131'!C36</f>
        <v>0</v>
      </c>
      <c r="D36" s="162">
        <f>'IBS Action Plan 20170131'!D36</f>
        <v>0</v>
      </c>
      <c r="E36" s="162">
        <f>'IBS Action Plan 20170131'!E36</f>
        <v>109</v>
      </c>
      <c r="F36" s="162">
        <f>'IBS Action Plan 20170131'!F36</f>
        <v>1313</v>
      </c>
      <c r="G36" s="162">
        <f>'IBS Action Plan 20170131'!G36</f>
        <v>1422</v>
      </c>
      <c r="H36" s="162">
        <f>'IBS Action Plan 20170131'!H36</f>
        <v>765.5</v>
      </c>
      <c r="I36" s="426">
        <f>'IBS Action Plan 20170131'!I36</f>
        <v>0.53832630098452883</v>
      </c>
      <c r="J36" s="162">
        <f>'IBS Action Plan 20170131'!J36</f>
        <v>504</v>
      </c>
      <c r="K36" s="162">
        <f>'IBS Action Plan 20170131'!K36</f>
        <v>132</v>
      </c>
      <c r="L36" s="162">
        <f>'IBS Action Plan 20170131'!L36</f>
        <v>1795</v>
      </c>
      <c r="M36" s="162" t="str">
        <f>'IBS Action Plan 20170131'!N36</f>
        <v xml:space="preserve"> 2021 - 22  </v>
      </c>
      <c r="N36" s="130"/>
      <c r="O36" s="282">
        <f>'IBS Action Plan 20170131'!P36</f>
        <v>0</v>
      </c>
      <c r="P36" s="283">
        <f>'IBS Action Plan 20170131'!Q36</f>
        <v>0</v>
      </c>
      <c r="Q36" s="283">
        <f>'IBS Action Plan 20170131'!R36</f>
        <v>0</v>
      </c>
      <c r="R36" s="283">
        <f>'IBS Action Plan 20170131'!S36</f>
        <v>0</v>
      </c>
      <c r="S36" s="283">
        <f>'IBS Action Plan 20170131'!T36</f>
        <v>0</v>
      </c>
      <c r="T36" s="283">
        <f>'IBS Action Plan 20170131'!U36</f>
        <v>0</v>
      </c>
      <c r="U36" s="283">
        <f>'IBS Action Plan 20170131'!V36</f>
        <v>0</v>
      </c>
      <c r="V36" s="283">
        <f>'IBS Action Plan 20170131'!W36</f>
        <v>0</v>
      </c>
      <c r="W36" s="283">
        <f>'IBS Action Plan 20170131'!X36</f>
        <v>0</v>
      </c>
      <c r="X36" s="283">
        <f>'IBS Action Plan 20170131'!Y36</f>
        <v>0</v>
      </c>
      <c r="Y36" s="283">
        <f>'IBS Action Plan 20170131'!Z36</f>
        <v>1926</v>
      </c>
      <c r="Z36" s="153"/>
    </row>
    <row r="37" spans="1:26" x14ac:dyDescent="0.3">
      <c r="A37" s="748"/>
      <c r="B37" s="159" t="str">
        <f>'IBS Action Plan 20170131'!B37</f>
        <v>Missinka</v>
      </c>
      <c r="C37" s="162">
        <f>'IBS Action Plan 20170131'!C37</f>
        <v>0</v>
      </c>
      <c r="D37" s="162">
        <f>'IBS Action Plan 20170131'!D37</f>
        <v>0</v>
      </c>
      <c r="E37" s="162">
        <f>'IBS Action Plan 20170131'!E37</f>
        <v>0</v>
      </c>
      <c r="F37" s="162">
        <f>'IBS Action Plan 20170131'!F37</f>
        <v>0</v>
      </c>
      <c r="G37" s="162">
        <f>'IBS Action Plan 20170131'!G37</f>
        <v>0</v>
      </c>
      <c r="H37" s="162">
        <f>'IBS Action Plan 20170131'!H37</f>
        <v>0</v>
      </c>
      <c r="I37" s="426">
        <f>'IBS Action Plan 20170131'!I37</f>
        <v>0</v>
      </c>
      <c r="J37" s="162">
        <f>'IBS Action Plan 20170131'!J37</f>
        <v>0</v>
      </c>
      <c r="K37" s="162" t="str">
        <f>'IBS Action Plan 20170131'!K37</f>
        <v xml:space="preserve">             -  </v>
      </c>
      <c r="L37" s="162" t="str">
        <f>'IBS Action Plan 20170131'!L37</f>
        <v xml:space="preserve">                    -  </v>
      </c>
      <c r="M37" s="162">
        <f>'IBS Action Plan 20170131'!N37</f>
        <v>0</v>
      </c>
      <c r="N37" s="130"/>
      <c r="O37" s="282" t="str">
        <f>'IBS Action Plan 20170131'!P37</f>
        <v>Economic</v>
      </c>
      <c r="P37" s="283">
        <f>'IBS Action Plan 20170131'!Q37</f>
        <v>0</v>
      </c>
      <c r="Q37" s="283">
        <f>'IBS Action Plan 20170131'!R37</f>
        <v>0</v>
      </c>
      <c r="R37" s="283">
        <f>'IBS Action Plan 20170131'!S37</f>
        <v>0</v>
      </c>
      <c r="S37" s="283">
        <f>'IBS Action Plan 20170131'!T37</f>
        <v>37</v>
      </c>
      <c r="T37" s="283">
        <f>'IBS Action Plan 20170131'!U37</f>
        <v>0</v>
      </c>
      <c r="U37" s="283">
        <f>'IBS Action Plan 20170131'!V37</f>
        <v>37</v>
      </c>
      <c r="V37" s="283">
        <f>'IBS Action Plan 20170131'!W37</f>
        <v>14.8</v>
      </c>
      <c r="W37" s="283">
        <f>'IBS Action Plan 20170131'!X37</f>
        <v>22.2</v>
      </c>
      <c r="X37" s="283" t="str">
        <f>'IBS Action Plan 20170131'!Y37</f>
        <v xml:space="preserve">Isolated </v>
      </c>
      <c r="Y37" s="283">
        <f>'IBS Action Plan 20170131'!Z37</f>
        <v>37</v>
      </c>
      <c r="Z37" s="153"/>
    </row>
    <row r="38" spans="1:26" x14ac:dyDescent="0.3">
      <c r="A38" s="748"/>
      <c r="B38" s="159" t="str">
        <f>'IBS Action Plan 20170131'!B38</f>
        <v>Parsnip</v>
      </c>
      <c r="C38" s="162">
        <f>'IBS Action Plan 20170131'!C38</f>
        <v>0</v>
      </c>
      <c r="D38" s="162">
        <f>'IBS Action Plan 20170131'!D38</f>
        <v>0</v>
      </c>
      <c r="E38" s="162">
        <f>'IBS Action Plan 20170131'!E38</f>
        <v>0</v>
      </c>
      <c r="F38" s="162">
        <f>'IBS Action Plan 20170131'!F38</f>
        <v>94</v>
      </c>
      <c r="G38" s="162">
        <f>'IBS Action Plan 20170131'!G38</f>
        <v>94</v>
      </c>
      <c r="H38" s="162">
        <f>'IBS Action Plan 20170131'!H38</f>
        <v>47</v>
      </c>
      <c r="I38" s="426">
        <f>'IBS Action Plan 20170131'!I38</f>
        <v>0.5</v>
      </c>
      <c r="J38" s="162">
        <f>'IBS Action Plan 20170131'!J38</f>
        <v>0</v>
      </c>
      <c r="K38" s="162">
        <f>'IBS Action Plan 20170131'!K38</f>
        <v>53</v>
      </c>
      <c r="L38" s="162">
        <f>'IBS Action Plan 20170131'!L38</f>
        <v>41</v>
      </c>
      <c r="M38" s="162" t="str">
        <f>'IBS Action Plan 20170131'!N38</f>
        <v xml:space="preserve"> 2021 - 22 </v>
      </c>
      <c r="N38" s="130"/>
      <c r="O38" s="282" t="str">
        <f>'IBS Action Plan 20170131'!P38</f>
        <v>Economic</v>
      </c>
      <c r="P38" s="283">
        <f>'IBS Action Plan 20170131'!Q38</f>
        <v>0</v>
      </c>
      <c r="Q38" s="283">
        <f>'IBS Action Plan 20170131'!R38</f>
        <v>0</v>
      </c>
      <c r="R38" s="283">
        <f>'IBS Action Plan 20170131'!S38</f>
        <v>2</v>
      </c>
      <c r="S38" s="283">
        <f>'IBS Action Plan 20170131'!T38</f>
        <v>0</v>
      </c>
      <c r="T38" s="283">
        <f>'IBS Action Plan 20170131'!U38</f>
        <v>0</v>
      </c>
      <c r="U38" s="283">
        <f>'IBS Action Plan 20170131'!V38</f>
        <v>2</v>
      </c>
      <c r="V38" s="283">
        <f>'IBS Action Plan 20170131'!W38</f>
        <v>0.8</v>
      </c>
      <c r="W38" s="283">
        <f>'IBS Action Plan 20170131'!X38</f>
        <v>1.2</v>
      </c>
      <c r="X38" s="283" t="str">
        <f>'IBS Action Plan 20170131'!Y38</f>
        <v xml:space="preserve">Isolated </v>
      </c>
      <c r="Y38" s="283">
        <f>'IBS Action Plan 20170131'!Z38</f>
        <v>96</v>
      </c>
      <c r="Z38" s="153"/>
    </row>
    <row r="39" spans="1:26" x14ac:dyDescent="0.3">
      <c r="A39" s="748"/>
      <c r="B39" s="159" t="str">
        <f>'IBS Action Plan 20170131'!B39</f>
        <v>Reynolds</v>
      </c>
      <c r="C39" s="162">
        <f>'IBS Action Plan 20170131'!C39</f>
        <v>0</v>
      </c>
      <c r="D39" s="162">
        <f>'IBS Action Plan 20170131'!D39</f>
        <v>26</v>
      </c>
      <c r="E39" s="162">
        <f>'IBS Action Plan 20170131'!E39</f>
        <v>16</v>
      </c>
      <c r="F39" s="162">
        <f>'IBS Action Plan 20170131'!F39</f>
        <v>485</v>
      </c>
      <c r="G39" s="162">
        <f>'IBS Action Plan 20170131'!G39</f>
        <v>527</v>
      </c>
      <c r="H39" s="162">
        <f>'IBS Action Plan 20170131'!H39</f>
        <v>284.5</v>
      </c>
      <c r="I39" s="426">
        <f>'IBS Action Plan 20170131'!I39</f>
        <v>0.53984819734345346</v>
      </c>
      <c r="J39" s="162">
        <f>'IBS Action Plan 20170131'!J39</f>
        <v>340</v>
      </c>
      <c r="K39" s="162">
        <f>'IBS Action Plan 20170131'!K39</f>
        <v>25</v>
      </c>
      <c r="L39" s="162">
        <f>'IBS Action Plan 20170131'!L39</f>
        <v>842</v>
      </c>
      <c r="M39" s="162" t="str">
        <f>'IBS Action Plan 20170131'!N39</f>
        <v xml:space="preserve"> 2020 - 21 </v>
      </c>
      <c r="N39" s="130"/>
      <c r="O39" s="282" t="str">
        <f>'IBS Action Plan 20170131'!P39</f>
        <v>Economic</v>
      </c>
      <c r="P39" s="283">
        <f>'IBS Action Plan 20170131'!Q39</f>
        <v>0</v>
      </c>
      <c r="Q39" s="283">
        <f>'IBS Action Plan 20170131'!R39</f>
        <v>173</v>
      </c>
      <c r="R39" s="283">
        <f>'IBS Action Plan 20170131'!S39</f>
        <v>0</v>
      </c>
      <c r="S39" s="283">
        <f>'IBS Action Plan 20170131'!T39</f>
        <v>35</v>
      </c>
      <c r="T39" s="283">
        <f>'IBS Action Plan 20170131'!U39</f>
        <v>119</v>
      </c>
      <c r="U39" s="283">
        <f>'IBS Action Plan 20170131'!V39</f>
        <v>327</v>
      </c>
      <c r="V39" s="283">
        <f>'IBS Action Plan 20170131'!W39</f>
        <v>130.80000000000001</v>
      </c>
      <c r="W39" s="283">
        <f>'IBS Action Plan 20170131'!X39</f>
        <v>196.2</v>
      </c>
      <c r="X39" s="283" t="str">
        <f>'IBS Action Plan 20170131'!Y39</f>
        <v xml:space="preserve">Roads, other, NDU </v>
      </c>
      <c r="Y39" s="283">
        <f>'IBS Action Plan 20170131'!Z39</f>
        <v>1194</v>
      </c>
      <c r="Z39" s="153"/>
    </row>
    <row r="40" spans="1:26" x14ac:dyDescent="0.3">
      <c r="A40" s="752"/>
      <c r="B40" s="159" t="str">
        <f>'IBS Action Plan 20170131'!B40</f>
        <v>Summit Lake</v>
      </c>
      <c r="C40" s="78">
        <f>'IBS Action Plan 20170131'!C40</f>
        <v>0</v>
      </c>
      <c r="D40" s="78">
        <f>'IBS Action Plan 20170131'!D40</f>
        <v>166</v>
      </c>
      <c r="E40" s="78">
        <f>'IBS Action Plan 20170131'!E40</f>
        <v>132</v>
      </c>
      <c r="F40" s="78">
        <f>'IBS Action Plan 20170131'!F40</f>
        <v>9</v>
      </c>
      <c r="G40" s="78">
        <f>'IBS Action Plan 20170131'!G40</f>
        <v>307</v>
      </c>
      <c r="H40" s="78">
        <f>'IBS Action Plan 20170131'!H40</f>
        <v>302.5</v>
      </c>
      <c r="I40" s="427">
        <f>'IBS Action Plan 20170131'!I40</f>
        <v>0.98534201954397393</v>
      </c>
      <c r="J40" s="78">
        <f>'IBS Action Plan 20170131'!J40</f>
        <v>507</v>
      </c>
      <c r="K40" s="78">
        <f>'IBS Action Plan 20170131'!K40</f>
        <v>5</v>
      </c>
      <c r="L40" s="78">
        <f>'IBS Action Plan 20170131'!L40</f>
        <v>811</v>
      </c>
      <c r="M40" s="78" t="str">
        <f>'IBS Action Plan 20170131'!N40</f>
        <v xml:space="preserve"> 2017 - 18  </v>
      </c>
      <c r="N40" s="130"/>
      <c r="O40" s="284">
        <f>'IBS Action Plan 20170131'!P40</f>
        <v>0</v>
      </c>
      <c r="P40" s="285">
        <f>'IBS Action Plan 20170131'!Q40</f>
        <v>0</v>
      </c>
      <c r="Q40" s="285">
        <f>'IBS Action Plan 20170131'!R40</f>
        <v>0</v>
      </c>
      <c r="R40" s="285">
        <f>'IBS Action Plan 20170131'!S40</f>
        <v>0</v>
      </c>
      <c r="S40" s="285">
        <f>'IBS Action Plan 20170131'!T40</f>
        <v>0</v>
      </c>
      <c r="T40" s="285">
        <f>'IBS Action Plan 20170131'!U40</f>
        <v>0</v>
      </c>
      <c r="U40" s="285">
        <f>'IBS Action Plan 20170131'!V40</f>
        <v>0</v>
      </c>
      <c r="V40" s="285">
        <f>'IBS Action Plan 20170131'!W40</f>
        <v>0</v>
      </c>
      <c r="W40" s="285">
        <f>'IBS Action Plan 20170131'!X40</f>
        <v>0</v>
      </c>
      <c r="X40" s="285">
        <f>'IBS Action Plan 20170131'!Y40</f>
        <v>0</v>
      </c>
      <c r="Y40" s="285">
        <f>'IBS Action Plan 20170131'!Z40</f>
        <v>814</v>
      </c>
      <c r="Z40" s="153"/>
    </row>
    <row r="41" spans="1:26" x14ac:dyDescent="0.3">
      <c r="A41" s="161" t="str">
        <f>'IBS Action Plan 20170131'!A41</f>
        <v>Subtotal</v>
      </c>
      <c r="B41" s="60" t="str">
        <f>'IBS Action Plan 20170131'!B41</f>
        <v>BCTS PG District</v>
      </c>
      <c r="C41" s="114">
        <f>'IBS Action Plan 20170131'!C41</f>
        <v>0</v>
      </c>
      <c r="D41" s="114">
        <f>'IBS Action Plan 20170131'!D41</f>
        <v>336</v>
      </c>
      <c r="E41" s="114">
        <f>'IBS Action Plan 20170131'!E41</f>
        <v>1617</v>
      </c>
      <c r="F41" s="114">
        <f>'IBS Action Plan 20170131'!F41</f>
        <v>7736</v>
      </c>
      <c r="G41" s="114">
        <f>'IBS Action Plan 20170131'!G41</f>
        <v>9689</v>
      </c>
      <c r="H41" s="114">
        <f>'IBS Action Plan 20170131'!H41</f>
        <v>5821</v>
      </c>
      <c r="I41" s="428">
        <f>'IBS Action Plan 20170131'!I41</f>
        <v>0.60078439467437295</v>
      </c>
      <c r="J41" s="114">
        <f>'IBS Action Plan 20170131'!J41</f>
        <v>2644</v>
      </c>
      <c r="K41" s="114">
        <f>'IBS Action Plan 20170131'!K41</f>
        <v>2336</v>
      </c>
      <c r="L41" s="114">
        <f>'IBS Action Plan 20170131'!L41</f>
        <v>10000</v>
      </c>
      <c r="M41" s="72">
        <f>'IBS Action Plan 20170131'!N41</f>
        <v>0</v>
      </c>
      <c r="N41" s="130"/>
      <c r="O41" s="288" t="str">
        <f>'IBS Action Plan 20170131'!P41</f>
        <v xml:space="preserve">             -  </v>
      </c>
      <c r="P41" s="289">
        <f>'IBS Action Plan 20170131'!Q41</f>
        <v>0</v>
      </c>
      <c r="Q41" s="289">
        <f>'IBS Action Plan 20170131'!R41</f>
        <v>173</v>
      </c>
      <c r="R41" s="289">
        <f>'IBS Action Plan 20170131'!S41</f>
        <v>2</v>
      </c>
      <c r="S41" s="289">
        <f>'IBS Action Plan 20170131'!T41</f>
        <v>72</v>
      </c>
      <c r="T41" s="289">
        <f>'IBS Action Plan 20170131'!U41</f>
        <v>217</v>
      </c>
      <c r="U41" s="289">
        <f>'IBS Action Plan 20170131'!V41</f>
        <v>464</v>
      </c>
      <c r="V41" s="289">
        <f>'IBS Action Plan 20170131'!W41</f>
        <v>185.60000000000002</v>
      </c>
      <c r="W41" s="289">
        <f>'IBS Action Plan 20170131'!X41</f>
        <v>278.39999999999998</v>
      </c>
      <c r="X41" s="289">
        <f>'IBS Action Plan 20170131'!Y41</f>
        <v>0</v>
      </c>
      <c r="Y41" s="289">
        <f>'IBS Action Plan 20170131'!Z41</f>
        <v>12797</v>
      </c>
      <c r="Z41" s="153"/>
    </row>
    <row r="42" spans="1:26" x14ac:dyDescent="0.3">
      <c r="A42" s="747" t="str">
        <f>'IBS Action Plan 20170131'!A42:A58</f>
        <v>Canfor PG</v>
      </c>
      <c r="B42" s="159" t="str">
        <f>'IBS Action Plan 20170131'!B42</f>
        <v>DPG - Ames</v>
      </c>
      <c r="C42" s="162">
        <f>'IBS Action Plan 20170131'!C42</f>
        <v>0</v>
      </c>
      <c r="D42" s="162">
        <f>'IBS Action Plan 20170131'!D42</f>
        <v>0</v>
      </c>
      <c r="E42" s="162">
        <f>'IBS Action Plan 20170131'!E42</f>
        <v>0</v>
      </c>
      <c r="F42" s="162">
        <f>'IBS Action Plan 20170131'!F42</f>
        <v>19</v>
      </c>
      <c r="G42" s="162">
        <f>'IBS Action Plan 20170131'!G42</f>
        <v>19</v>
      </c>
      <c r="H42" s="162">
        <f>'IBS Action Plan 20170131'!H42</f>
        <v>9.5</v>
      </c>
      <c r="I42" s="426">
        <f>'IBS Action Plan 20170131'!I42</f>
        <v>0.5</v>
      </c>
      <c r="J42" s="162">
        <f>'IBS Action Plan 20170131'!J42</f>
        <v>0</v>
      </c>
      <c r="K42" s="162" t="str">
        <f>'IBS Action Plan 20170131'!K42</f>
        <v xml:space="preserve">              -  </v>
      </c>
      <c r="L42" s="162">
        <f>'IBS Action Plan 20170131'!L42</f>
        <v>19</v>
      </c>
      <c r="M42" s="162" t="str">
        <f>'IBS Action Plan 20170131'!N42</f>
        <v>2017-2019</v>
      </c>
      <c r="N42" s="157"/>
      <c r="O42" s="286">
        <f>'IBS Action Plan 20170131'!P42</f>
        <v>0</v>
      </c>
      <c r="P42" s="287">
        <f>'IBS Action Plan 20170131'!Q42</f>
        <v>0</v>
      </c>
      <c r="Q42" s="287">
        <f>'IBS Action Plan 20170131'!R42</f>
        <v>0</v>
      </c>
      <c r="R42" s="287">
        <f>'IBS Action Plan 20170131'!S42</f>
        <v>0</v>
      </c>
      <c r="S42" s="287">
        <f>'IBS Action Plan 20170131'!T42</f>
        <v>0</v>
      </c>
      <c r="T42" s="287">
        <f>'IBS Action Plan 20170131'!U42</f>
        <v>0</v>
      </c>
      <c r="U42" s="287">
        <f>'IBS Action Plan 20170131'!V42</f>
        <v>0</v>
      </c>
      <c r="V42" s="287">
        <f>'IBS Action Plan 20170131'!W42</f>
        <v>0</v>
      </c>
      <c r="W42" s="287">
        <f>'IBS Action Plan 20170131'!X42</f>
        <v>0</v>
      </c>
      <c r="X42" s="287">
        <f>'IBS Action Plan 20170131'!Y42</f>
        <v>0</v>
      </c>
      <c r="Y42" s="287">
        <f>'IBS Action Plan 20170131'!Z42</f>
        <v>19</v>
      </c>
      <c r="Z42" s="153"/>
    </row>
    <row r="43" spans="1:26" x14ac:dyDescent="0.3">
      <c r="A43" s="712"/>
      <c r="B43" s="159" t="str">
        <f>'IBS Action Plan 20170131'!B43</f>
        <v>DPG - Anzac</v>
      </c>
      <c r="C43" s="162">
        <f>'IBS Action Plan 20170131'!C43</f>
        <v>0</v>
      </c>
      <c r="D43" s="162">
        <f>'IBS Action Plan 20170131'!D43</f>
        <v>443</v>
      </c>
      <c r="E43" s="162">
        <f>'IBS Action Plan 20170131'!E43</f>
        <v>383</v>
      </c>
      <c r="F43" s="162">
        <f>'IBS Action Plan 20170131'!F43</f>
        <v>3308</v>
      </c>
      <c r="G43" s="162">
        <f>'IBS Action Plan 20170131'!G43</f>
        <v>4134</v>
      </c>
      <c r="H43" s="162">
        <f>'IBS Action Plan 20170131'!H43</f>
        <v>2480</v>
      </c>
      <c r="I43" s="426">
        <f>'IBS Action Plan 20170131'!I43</f>
        <v>0.59990324141267537</v>
      </c>
      <c r="J43" s="162">
        <f>'IBS Action Plan 20170131'!J43</f>
        <v>2048</v>
      </c>
      <c r="K43" s="162">
        <f>'IBS Action Plan 20170131'!K43</f>
        <v>693</v>
      </c>
      <c r="L43" s="162">
        <f>'IBS Action Plan 20170131'!L43</f>
        <v>5489</v>
      </c>
      <c r="M43" s="162" t="str">
        <f>'IBS Action Plan 20170131'!N43</f>
        <v>2017-2021</v>
      </c>
      <c r="N43" s="157"/>
      <c r="O43" s="282">
        <f>'IBS Action Plan 20170131'!P43</f>
        <v>0</v>
      </c>
      <c r="P43" s="283">
        <f>'IBS Action Plan 20170131'!Q43</f>
        <v>0</v>
      </c>
      <c r="Q43" s="283">
        <f>'IBS Action Plan 20170131'!R43</f>
        <v>0</v>
      </c>
      <c r="R43" s="283">
        <f>'IBS Action Plan 20170131'!S43</f>
        <v>0</v>
      </c>
      <c r="S43" s="283">
        <f>'IBS Action Plan 20170131'!T43</f>
        <v>0</v>
      </c>
      <c r="T43" s="283">
        <f>'IBS Action Plan 20170131'!U43</f>
        <v>0</v>
      </c>
      <c r="U43" s="283">
        <f>'IBS Action Plan 20170131'!V43</f>
        <v>0</v>
      </c>
      <c r="V43" s="283">
        <f>'IBS Action Plan 20170131'!W43</f>
        <v>0</v>
      </c>
      <c r="W43" s="283">
        <f>'IBS Action Plan 20170131'!X43</f>
        <v>0</v>
      </c>
      <c r="X43" s="283">
        <f>'IBS Action Plan 20170131'!Y43</f>
        <v>0</v>
      </c>
      <c r="Y43" s="283">
        <f>'IBS Action Plan 20170131'!Z43</f>
        <v>6182</v>
      </c>
      <c r="Z43" s="153"/>
    </row>
    <row r="44" spans="1:26" x14ac:dyDescent="0.3">
      <c r="A44" s="712"/>
      <c r="B44" s="159" t="str">
        <f>'IBS Action Plan 20170131'!B44</f>
        <v>DPG - Chuchinka</v>
      </c>
      <c r="C44" s="162">
        <f>'IBS Action Plan 20170131'!C44</f>
        <v>0</v>
      </c>
      <c r="D44" s="162">
        <f>'IBS Action Plan 20170131'!D44</f>
        <v>70</v>
      </c>
      <c r="E44" s="162">
        <f>'IBS Action Plan 20170131'!E44</f>
        <v>439</v>
      </c>
      <c r="F44" s="162">
        <f>'IBS Action Plan 20170131'!F44</f>
        <v>444</v>
      </c>
      <c r="G44" s="162">
        <f>'IBS Action Plan 20170131'!G44</f>
        <v>953</v>
      </c>
      <c r="H44" s="162">
        <f>'IBS Action Plan 20170131'!H44</f>
        <v>731</v>
      </c>
      <c r="I44" s="426">
        <f>'IBS Action Plan 20170131'!I44</f>
        <v>0.76705141657922349</v>
      </c>
      <c r="J44" s="162">
        <f>'IBS Action Plan 20170131'!J44</f>
        <v>414</v>
      </c>
      <c r="K44" s="162">
        <f>'IBS Action Plan 20170131'!K44</f>
        <v>94</v>
      </c>
      <c r="L44" s="162">
        <f>'IBS Action Plan 20170131'!L44</f>
        <v>1273</v>
      </c>
      <c r="M44" s="162" t="str">
        <f>'IBS Action Plan 20170131'!N44</f>
        <v>2017-2018</v>
      </c>
      <c r="N44" s="157"/>
      <c r="O44" s="282">
        <f>'IBS Action Plan 20170131'!P44</f>
        <v>0</v>
      </c>
      <c r="P44" s="283">
        <f>'IBS Action Plan 20170131'!Q44</f>
        <v>0</v>
      </c>
      <c r="Q44" s="283">
        <f>'IBS Action Plan 20170131'!R44</f>
        <v>0</v>
      </c>
      <c r="R44" s="283">
        <f>'IBS Action Plan 20170131'!S44</f>
        <v>0</v>
      </c>
      <c r="S44" s="283">
        <f>'IBS Action Plan 20170131'!T44</f>
        <v>0</v>
      </c>
      <c r="T44" s="283">
        <f>'IBS Action Plan 20170131'!U44</f>
        <v>0</v>
      </c>
      <c r="U44" s="283">
        <f>'IBS Action Plan 20170131'!V44</f>
        <v>0</v>
      </c>
      <c r="V44" s="283">
        <f>'IBS Action Plan 20170131'!W44</f>
        <v>0</v>
      </c>
      <c r="W44" s="283">
        <f>'IBS Action Plan 20170131'!X44</f>
        <v>0</v>
      </c>
      <c r="X44" s="283">
        <f>'IBS Action Plan 20170131'!Y44</f>
        <v>0</v>
      </c>
      <c r="Y44" s="283">
        <f>'IBS Action Plan 20170131'!Z44</f>
        <v>1367</v>
      </c>
      <c r="Z44" s="153"/>
    </row>
    <row r="45" spans="1:26" x14ac:dyDescent="0.3">
      <c r="A45" s="712"/>
      <c r="B45" s="159" t="str">
        <f>'IBS Action Plan 20170131'!B45</f>
        <v>DPG - Government</v>
      </c>
      <c r="C45" s="162">
        <f>'IBS Action Plan 20170131'!C45</f>
        <v>0</v>
      </c>
      <c r="D45" s="162">
        <f>'IBS Action Plan 20170131'!D45</f>
        <v>0</v>
      </c>
      <c r="E45" s="162">
        <f>'IBS Action Plan 20170131'!E45</f>
        <v>0</v>
      </c>
      <c r="F45" s="162">
        <f>'IBS Action Plan 20170131'!F45</f>
        <v>0</v>
      </c>
      <c r="G45" s="162">
        <f>'IBS Action Plan 20170131'!G45</f>
        <v>0</v>
      </c>
      <c r="H45" s="162">
        <f>'IBS Action Plan 20170131'!H45</f>
        <v>0</v>
      </c>
      <c r="I45" s="426">
        <f>'IBS Action Plan 20170131'!I45</f>
        <v>0</v>
      </c>
      <c r="J45" s="162">
        <f>'IBS Action Plan 20170131'!J45</f>
        <v>421</v>
      </c>
      <c r="K45" s="162" t="str">
        <f>'IBS Action Plan 20170131'!K45</f>
        <v xml:space="preserve">              -  </v>
      </c>
      <c r="L45" s="162">
        <f>'IBS Action Plan 20170131'!L45</f>
        <v>421</v>
      </c>
      <c r="M45" s="162" t="str">
        <f>'IBS Action Plan 20170131'!N45</f>
        <v>2018-2019</v>
      </c>
      <c r="N45" s="157"/>
      <c r="O45" s="282">
        <f>'IBS Action Plan 20170131'!P45</f>
        <v>0</v>
      </c>
      <c r="P45" s="283">
        <f>'IBS Action Plan 20170131'!Q45</f>
        <v>0</v>
      </c>
      <c r="Q45" s="283">
        <f>'IBS Action Plan 20170131'!R45</f>
        <v>0</v>
      </c>
      <c r="R45" s="283">
        <f>'IBS Action Plan 20170131'!S45</f>
        <v>0</v>
      </c>
      <c r="S45" s="283">
        <f>'IBS Action Plan 20170131'!T45</f>
        <v>0</v>
      </c>
      <c r="T45" s="283">
        <f>'IBS Action Plan 20170131'!U45</f>
        <v>0</v>
      </c>
      <c r="U45" s="283">
        <f>'IBS Action Plan 20170131'!V45</f>
        <v>0</v>
      </c>
      <c r="V45" s="283">
        <f>'IBS Action Plan 20170131'!W45</f>
        <v>0</v>
      </c>
      <c r="W45" s="283">
        <f>'IBS Action Plan 20170131'!X45</f>
        <v>0</v>
      </c>
      <c r="X45" s="283">
        <f>'IBS Action Plan 20170131'!Y45</f>
        <v>0</v>
      </c>
      <c r="Y45" s="283">
        <f>'IBS Action Plan 20170131'!Z45</f>
        <v>421</v>
      </c>
      <c r="Z45" s="153"/>
    </row>
    <row r="46" spans="1:26" x14ac:dyDescent="0.3">
      <c r="A46" s="712"/>
      <c r="B46" s="159" t="str">
        <f>'IBS Action Plan 20170131'!B46</f>
        <v>DPG - Herrick</v>
      </c>
      <c r="C46" s="162">
        <f>'IBS Action Plan 20170131'!C46</f>
        <v>0</v>
      </c>
      <c r="D46" s="162">
        <f>'IBS Action Plan 20170131'!D46</f>
        <v>0</v>
      </c>
      <c r="E46" s="162">
        <f>'IBS Action Plan 20170131'!E46</f>
        <v>26</v>
      </c>
      <c r="F46" s="162">
        <f>'IBS Action Plan 20170131'!F46</f>
        <v>1289</v>
      </c>
      <c r="G46" s="162">
        <f>'IBS Action Plan 20170131'!G46</f>
        <v>1315</v>
      </c>
      <c r="H46" s="162">
        <f>'IBS Action Plan 20170131'!H46</f>
        <v>670.5</v>
      </c>
      <c r="I46" s="426">
        <f>'IBS Action Plan 20170131'!I46</f>
        <v>0.50988593155893536</v>
      </c>
      <c r="J46" s="162">
        <f>'IBS Action Plan 20170131'!J46</f>
        <v>1202</v>
      </c>
      <c r="K46" s="162">
        <f>'IBS Action Plan 20170131'!K46</f>
        <v>497</v>
      </c>
      <c r="L46" s="162">
        <f>'IBS Action Plan 20170131'!L46</f>
        <v>2019</v>
      </c>
      <c r="M46" s="162" t="str">
        <f>'IBS Action Plan 20170131'!N46</f>
        <v xml:space="preserve"> 2020-2023 </v>
      </c>
      <c r="N46" s="157"/>
      <c r="O46" s="282" t="str">
        <f>'IBS Action Plan 20170131'!P46</f>
        <v>Legal</v>
      </c>
      <c r="P46" s="283">
        <f>'IBS Action Plan 20170131'!Q46</f>
        <v>0</v>
      </c>
      <c r="Q46" s="283">
        <f>'IBS Action Plan 20170131'!R46</f>
        <v>0</v>
      </c>
      <c r="R46" s="283">
        <f>'IBS Action Plan 20170131'!S46</f>
        <v>9</v>
      </c>
      <c r="S46" s="283">
        <f>'IBS Action Plan 20170131'!T46</f>
        <v>113</v>
      </c>
      <c r="T46" s="283">
        <f>'IBS Action Plan 20170131'!U46</f>
        <v>233</v>
      </c>
      <c r="U46" s="283">
        <f>'IBS Action Plan 20170131'!V46</f>
        <v>355</v>
      </c>
      <c r="V46" s="283">
        <f>'IBS Action Plan 20170131'!W46</f>
        <v>45</v>
      </c>
      <c r="W46" s="283">
        <f>'IBS Action Plan 20170131'!X46</f>
        <v>310</v>
      </c>
      <c r="X46" s="283" t="str">
        <f>'IBS Action Plan 20170131'!Y46</f>
        <v xml:space="preserve">Proposed landscape biodiversity areas for A25 (old forest); likely to be some operability issues as well </v>
      </c>
      <c r="Y46" s="283">
        <f>'IBS Action Plan 20170131'!Z46</f>
        <v>2872</v>
      </c>
      <c r="Z46" s="153"/>
    </row>
    <row r="47" spans="1:26" x14ac:dyDescent="0.3">
      <c r="A47" s="712"/>
      <c r="B47" s="159" t="str">
        <f>'IBS Action Plan 20170131'!B47</f>
        <v>DPG - McGregor</v>
      </c>
      <c r="C47" s="162">
        <f>'IBS Action Plan 20170131'!C47</f>
        <v>0</v>
      </c>
      <c r="D47" s="162">
        <f>'IBS Action Plan 20170131'!D47</f>
        <v>181</v>
      </c>
      <c r="E47" s="162">
        <f>'IBS Action Plan 20170131'!E47</f>
        <v>1699</v>
      </c>
      <c r="F47" s="162">
        <f>'IBS Action Plan 20170131'!F47</f>
        <v>3131</v>
      </c>
      <c r="G47" s="162">
        <f>'IBS Action Plan 20170131'!G47</f>
        <v>5011</v>
      </c>
      <c r="H47" s="162">
        <f>'IBS Action Plan 20170131'!H47</f>
        <v>3445.5</v>
      </c>
      <c r="I47" s="426">
        <f>'IBS Action Plan 20170131'!I47</f>
        <v>0.68758730792257039</v>
      </c>
      <c r="J47" s="162">
        <f>'IBS Action Plan 20170131'!J47</f>
        <v>417</v>
      </c>
      <c r="K47" s="162">
        <f>'IBS Action Plan 20170131'!K47</f>
        <v>1651</v>
      </c>
      <c r="L47" s="162">
        <f>'IBS Action Plan 20170131'!L47</f>
        <v>3777</v>
      </c>
      <c r="M47" s="162" t="str">
        <f>'IBS Action Plan 20170131'!N47</f>
        <v xml:space="preserve"> 2017-2024 </v>
      </c>
      <c r="N47" s="157"/>
      <c r="O47" s="282" t="str">
        <f>'IBS Action Plan 20170131'!P47</f>
        <v>Legal</v>
      </c>
      <c r="P47" s="283">
        <f>'IBS Action Plan 20170131'!Q47</f>
        <v>0</v>
      </c>
      <c r="Q47" s="283">
        <f>'IBS Action Plan 20170131'!R47</f>
        <v>12</v>
      </c>
      <c r="R47" s="283">
        <f>'IBS Action Plan 20170131'!S47</f>
        <v>392</v>
      </c>
      <c r="S47" s="283">
        <f>'IBS Action Plan 20170131'!T47</f>
        <v>526</v>
      </c>
      <c r="T47" s="283">
        <f>'IBS Action Plan 20170131'!U47</f>
        <v>75</v>
      </c>
      <c r="U47" s="283">
        <f>'IBS Action Plan 20170131'!V47</f>
        <v>1005</v>
      </c>
      <c r="V47" s="283">
        <f>'IBS Action Plan 20170131'!W47</f>
        <v>178</v>
      </c>
      <c r="W47" s="283">
        <f>'IBS Action Plan 20170131'!X47</f>
        <v>827</v>
      </c>
      <c r="X47" s="283" t="str">
        <f>'IBS Action Plan 20170131'!Y47</f>
        <v xml:space="preserve">Proposed landscape biodiversity areas for A25 (old forest) </v>
      </c>
      <c r="Y47" s="283">
        <f>'IBS Action Plan 20170131'!Z47</f>
        <v>6433</v>
      </c>
      <c r="Z47" s="153"/>
    </row>
    <row r="48" spans="1:26" x14ac:dyDescent="0.3">
      <c r="A48" s="712"/>
      <c r="B48" s="159" t="str">
        <f>'IBS Action Plan 20170131'!B48</f>
        <v>DPG - McLeod</v>
      </c>
      <c r="C48" s="162">
        <f>'IBS Action Plan 20170131'!C48</f>
        <v>0</v>
      </c>
      <c r="D48" s="162">
        <f>'IBS Action Plan 20170131'!D48</f>
        <v>0</v>
      </c>
      <c r="E48" s="162">
        <f>'IBS Action Plan 20170131'!E48</f>
        <v>0</v>
      </c>
      <c r="F48" s="162">
        <f>'IBS Action Plan 20170131'!F48</f>
        <v>366</v>
      </c>
      <c r="G48" s="162">
        <f>'IBS Action Plan 20170131'!G48</f>
        <v>366</v>
      </c>
      <c r="H48" s="162">
        <f>'IBS Action Plan 20170131'!H48</f>
        <v>183</v>
      </c>
      <c r="I48" s="426">
        <f>'IBS Action Plan 20170131'!I48</f>
        <v>0.5</v>
      </c>
      <c r="J48" s="162">
        <f>'IBS Action Plan 20170131'!J48</f>
        <v>3</v>
      </c>
      <c r="K48" s="162" t="str">
        <f>'IBS Action Plan 20170131'!K48</f>
        <v xml:space="preserve"> -   </v>
      </c>
      <c r="L48" s="162">
        <f>'IBS Action Plan 20170131'!L48</f>
        <v>370</v>
      </c>
      <c r="M48" s="162" t="str">
        <f>'IBS Action Plan 20170131'!N48</f>
        <v xml:space="preserve"> 2018-2019 </v>
      </c>
      <c r="N48" s="157"/>
      <c r="O48" s="282">
        <f>'IBS Action Plan 20170131'!P48</f>
        <v>0</v>
      </c>
      <c r="P48" s="283">
        <f>'IBS Action Plan 20170131'!Q48</f>
        <v>0</v>
      </c>
      <c r="Q48" s="283">
        <f>'IBS Action Plan 20170131'!R48</f>
        <v>0</v>
      </c>
      <c r="R48" s="283">
        <f>'IBS Action Plan 20170131'!S48</f>
        <v>0</v>
      </c>
      <c r="S48" s="283">
        <f>'IBS Action Plan 20170131'!T48</f>
        <v>0</v>
      </c>
      <c r="T48" s="283">
        <f>'IBS Action Plan 20170131'!U48</f>
        <v>0</v>
      </c>
      <c r="U48" s="283">
        <f>'IBS Action Plan 20170131'!V48</f>
        <v>0</v>
      </c>
      <c r="V48" s="283">
        <f>'IBS Action Plan 20170131'!W48</f>
        <v>0</v>
      </c>
      <c r="W48" s="283">
        <f>'IBS Action Plan 20170131'!X48</f>
        <v>0</v>
      </c>
      <c r="X48" s="283">
        <f>'IBS Action Plan 20170131'!Y48</f>
        <v>0</v>
      </c>
      <c r="Y48" s="283">
        <f>'IBS Action Plan 20170131'!Z48</f>
        <v>369</v>
      </c>
      <c r="Z48" s="153"/>
    </row>
    <row r="49" spans="1:26" x14ac:dyDescent="0.3">
      <c r="A49" s="712"/>
      <c r="B49" s="159" t="str">
        <f>'IBS Action Plan 20170131'!B49</f>
        <v>DPG - Muskeg</v>
      </c>
      <c r="C49" s="162">
        <f>'IBS Action Plan 20170131'!C49</f>
        <v>0</v>
      </c>
      <c r="D49" s="162">
        <f>'IBS Action Plan 20170131'!D49</f>
        <v>0</v>
      </c>
      <c r="E49" s="162">
        <f>'IBS Action Plan 20170131'!E49</f>
        <v>0</v>
      </c>
      <c r="F49" s="162">
        <f>'IBS Action Plan 20170131'!F49</f>
        <v>21</v>
      </c>
      <c r="G49" s="162">
        <f>'IBS Action Plan 20170131'!G49</f>
        <v>21</v>
      </c>
      <c r="H49" s="162">
        <f>'IBS Action Plan 20170131'!H49</f>
        <v>10.5</v>
      </c>
      <c r="I49" s="426">
        <f>'IBS Action Plan 20170131'!I49</f>
        <v>0.5</v>
      </c>
      <c r="J49" s="162">
        <f>'IBS Action Plan 20170131'!J49</f>
        <v>191</v>
      </c>
      <c r="K49" s="162" t="str">
        <f>'IBS Action Plan 20170131'!K49</f>
        <v xml:space="preserve"> -   </v>
      </c>
      <c r="L49" s="162">
        <f>'IBS Action Plan 20170131'!L49</f>
        <v>212</v>
      </c>
      <c r="M49" s="162" t="str">
        <f>'IBS Action Plan 20170131'!N49</f>
        <v xml:space="preserve"> 2017-2019 </v>
      </c>
      <c r="N49" s="157"/>
      <c r="O49" s="282">
        <f>'IBS Action Plan 20170131'!P49</f>
        <v>0</v>
      </c>
      <c r="P49" s="283">
        <f>'IBS Action Plan 20170131'!Q49</f>
        <v>0</v>
      </c>
      <c r="Q49" s="283">
        <f>'IBS Action Plan 20170131'!R49</f>
        <v>0</v>
      </c>
      <c r="R49" s="283">
        <f>'IBS Action Plan 20170131'!S49</f>
        <v>0</v>
      </c>
      <c r="S49" s="283">
        <f>'IBS Action Plan 20170131'!T49</f>
        <v>0</v>
      </c>
      <c r="T49" s="283">
        <f>'IBS Action Plan 20170131'!U49</f>
        <v>0</v>
      </c>
      <c r="U49" s="283">
        <f>'IBS Action Plan 20170131'!V49</f>
        <v>0</v>
      </c>
      <c r="V49" s="283">
        <f>'IBS Action Plan 20170131'!W49</f>
        <v>0</v>
      </c>
      <c r="W49" s="283">
        <f>'IBS Action Plan 20170131'!X49</f>
        <v>0</v>
      </c>
      <c r="X49" s="283">
        <f>'IBS Action Plan 20170131'!Y49</f>
        <v>0</v>
      </c>
      <c r="Y49" s="283">
        <f>'IBS Action Plan 20170131'!Z49</f>
        <v>212</v>
      </c>
      <c r="Z49" s="153"/>
    </row>
    <row r="50" spans="1:26" x14ac:dyDescent="0.3">
      <c r="A50" s="712"/>
      <c r="B50" s="159" t="str">
        <f>'IBS Action Plan 20170131'!B50</f>
        <v>DPG - Otter</v>
      </c>
      <c r="C50" s="162">
        <f>'IBS Action Plan 20170131'!C50</f>
        <v>0</v>
      </c>
      <c r="D50" s="162">
        <f>'IBS Action Plan 20170131'!D50</f>
        <v>0</v>
      </c>
      <c r="E50" s="162">
        <f>'IBS Action Plan 20170131'!E50</f>
        <v>0</v>
      </c>
      <c r="F50" s="162">
        <f>'IBS Action Plan 20170131'!F50</f>
        <v>0</v>
      </c>
      <c r="G50" s="162">
        <f>'IBS Action Plan 20170131'!G50</f>
        <v>0</v>
      </c>
      <c r="H50" s="162">
        <f>'IBS Action Plan 20170131'!H50</f>
        <v>0</v>
      </c>
      <c r="I50" s="426">
        <f>'IBS Action Plan 20170131'!I50</f>
        <v>0</v>
      </c>
      <c r="J50" s="162">
        <f>'IBS Action Plan 20170131'!J50</f>
        <v>59</v>
      </c>
      <c r="K50" s="162">
        <f>'IBS Action Plan 20170131'!K50</f>
        <v>2</v>
      </c>
      <c r="L50" s="162">
        <f>'IBS Action Plan 20170131'!L50</f>
        <v>57</v>
      </c>
      <c r="M50" s="162" t="str">
        <f>'IBS Action Plan 20170131'!N50</f>
        <v xml:space="preserve"> 2018-2020 </v>
      </c>
      <c r="N50" s="157"/>
      <c r="O50" s="282">
        <f>'IBS Action Plan 20170131'!P50</f>
        <v>0</v>
      </c>
      <c r="P50" s="283">
        <f>'IBS Action Plan 20170131'!Q50</f>
        <v>0</v>
      </c>
      <c r="Q50" s="283">
        <f>'IBS Action Plan 20170131'!R50</f>
        <v>0</v>
      </c>
      <c r="R50" s="283">
        <f>'IBS Action Plan 20170131'!S50</f>
        <v>0</v>
      </c>
      <c r="S50" s="283">
        <f>'IBS Action Plan 20170131'!T50</f>
        <v>0</v>
      </c>
      <c r="T50" s="283">
        <f>'IBS Action Plan 20170131'!U50</f>
        <v>0</v>
      </c>
      <c r="U50" s="283">
        <f>'IBS Action Plan 20170131'!V50</f>
        <v>0</v>
      </c>
      <c r="V50" s="283">
        <f>'IBS Action Plan 20170131'!W50</f>
        <v>0</v>
      </c>
      <c r="W50" s="283">
        <f>'IBS Action Plan 20170131'!X50</f>
        <v>0</v>
      </c>
      <c r="X50" s="283">
        <f>'IBS Action Plan 20170131'!Y50</f>
        <v>0</v>
      </c>
      <c r="Y50" s="283">
        <f>'IBS Action Plan 20170131'!Z50</f>
        <v>59</v>
      </c>
      <c r="Z50" s="153"/>
    </row>
    <row r="51" spans="1:26" x14ac:dyDescent="0.3">
      <c r="A51" s="712"/>
      <c r="B51" s="159" t="str">
        <f>'IBS Action Plan 20170131'!B51</f>
        <v>DPG - Pinkerton</v>
      </c>
      <c r="C51" s="162">
        <f>'IBS Action Plan 20170131'!C51</f>
        <v>0</v>
      </c>
      <c r="D51" s="162">
        <f>'IBS Action Plan 20170131'!D51</f>
        <v>0</v>
      </c>
      <c r="E51" s="162">
        <f>'IBS Action Plan 20170131'!E51</f>
        <v>0</v>
      </c>
      <c r="F51" s="162">
        <f>'IBS Action Plan 20170131'!F51</f>
        <v>37</v>
      </c>
      <c r="G51" s="162">
        <f>'IBS Action Plan 20170131'!G51</f>
        <v>37</v>
      </c>
      <c r="H51" s="162">
        <f>'IBS Action Plan 20170131'!H51</f>
        <v>18.5</v>
      </c>
      <c r="I51" s="426">
        <f>'IBS Action Plan 20170131'!I51</f>
        <v>0.5</v>
      </c>
      <c r="J51" s="162">
        <f>'IBS Action Plan 20170131'!J51</f>
        <v>27</v>
      </c>
      <c r="K51" s="162" t="str">
        <f>'IBS Action Plan 20170131'!K51</f>
        <v xml:space="preserve"> -   </v>
      </c>
      <c r="L51" s="162">
        <f>'IBS Action Plan 20170131'!L51</f>
        <v>64</v>
      </c>
      <c r="M51" s="162" t="str">
        <f>'IBS Action Plan 20170131'!N51</f>
        <v xml:space="preserve"> 2017-2018 </v>
      </c>
      <c r="N51" s="157"/>
      <c r="O51" s="282">
        <f>'IBS Action Plan 20170131'!P51</f>
        <v>0</v>
      </c>
      <c r="P51" s="283">
        <f>'IBS Action Plan 20170131'!Q51</f>
        <v>0</v>
      </c>
      <c r="Q51" s="283">
        <f>'IBS Action Plan 20170131'!R51</f>
        <v>0</v>
      </c>
      <c r="R51" s="283">
        <f>'IBS Action Plan 20170131'!S51</f>
        <v>0</v>
      </c>
      <c r="S51" s="283">
        <f>'IBS Action Plan 20170131'!T51</f>
        <v>0</v>
      </c>
      <c r="T51" s="283">
        <f>'IBS Action Plan 20170131'!U51</f>
        <v>0</v>
      </c>
      <c r="U51" s="283">
        <f>'IBS Action Plan 20170131'!V51</f>
        <v>0</v>
      </c>
      <c r="V51" s="283">
        <f>'IBS Action Plan 20170131'!W51</f>
        <v>0</v>
      </c>
      <c r="W51" s="283">
        <f>'IBS Action Plan 20170131'!X51</f>
        <v>0</v>
      </c>
      <c r="X51" s="283">
        <f>'IBS Action Plan 20170131'!Y51</f>
        <v>0</v>
      </c>
      <c r="Y51" s="283">
        <f>'IBS Action Plan 20170131'!Z51</f>
        <v>64</v>
      </c>
      <c r="Z51" s="153"/>
    </row>
    <row r="52" spans="1:26" x14ac:dyDescent="0.3">
      <c r="A52" s="712"/>
      <c r="B52" s="159" t="str">
        <f>'IBS Action Plan 20170131'!B52</f>
        <v>DPG - Salmon</v>
      </c>
      <c r="C52" s="162">
        <f>'IBS Action Plan 20170131'!C52</f>
        <v>59</v>
      </c>
      <c r="D52" s="162">
        <f>'IBS Action Plan 20170131'!D52</f>
        <v>29</v>
      </c>
      <c r="E52" s="162">
        <f>'IBS Action Plan 20170131'!E52</f>
        <v>73</v>
      </c>
      <c r="F52" s="162">
        <f>'IBS Action Plan 20170131'!F52</f>
        <v>440</v>
      </c>
      <c r="G52" s="162">
        <f>'IBS Action Plan 20170131'!G52</f>
        <v>601</v>
      </c>
      <c r="H52" s="162">
        <f>'IBS Action Plan 20170131'!H52</f>
        <v>381</v>
      </c>
      <c r="I52" s="426">
        <f>'IBS Action Plan 20170131'!I52</f>
        <v>0.63394342762063227</v>
      </c>
      <c r="J52" s="162">
        <f>'IBS Action Plan 20170131'!J52</f>
        <v>24</v>
      </c>
      <c r="K52" s="162">
        <f>'IBS Action Plan 20170131'!K52</f>
        <v>5</v>
      </c>
      <c r="L52" s="162">
        <f>'IBS Action Plan 20170131'!L52</f>
        <v>620</v>
      </c>
      <c r="M52" s="162" t="str">
        <f>'IBS Action Plan 20170131'!N52</f>
        <v xml:space="preserve"> 2017-2018 </v>
      </c>
      <c r="N52" s="157"/>
      <c r="O52" s="282">
        <f>'IBS Action Plan 20170131'!P52</f>
        <v>0</v>
      </c>
      <c r="P52" s="283">
        <f>'IBS Action Plan 20170131'!Q52</f>
        <v>0</v>
      </c>
      <c r="Q52" s="283">
        <f>'IBS Action Plan 20170131'!R52</f>
        <v>0</v>
      </c>
      <c r="R52" s="283">
        <f>'IBS Action Plan 20170131'!S52</f>
        <v>0</v>
      </c>
      <c r="S52" s="283">
        <f>'IBS Action Plan 20170131'!T52</f>
        <v>0</v>
      </c>
      <c r="T52" s="283">
        <f>'IBS Action Plan 20170131'!U52</f>
        <v>0</v>
      </c>
      <c r="U52" s="283">
        <f>'IBS Action Plan 20170131'!V52</f>
        <v>0</v>
      </c>
      <c r="V52" s="283">
        <f>'IBS Action Plan 20170131'!W52</f>
        <v>0</v>
      </c>
      <c r="W52" s="283">
        <f>'IBS Action Plan 20170131'!X52</f>
        <v>0</v>
      </c>
      <c r="X52" s="283">
        <f>'IBS Action Plan 20170131'!Y52</f>
        <v>0</v>
      </c>
      <c r="Y52" s="283">
        <f>'IBS Action Plan 20170131'!Z52</f>
        <v>625</v>
      </c>
      <c r="Z52" s="153"/>
    </row>
    <row r="53" spans="1:26" x14ac:dyDescent="0.3">
      <c r="A53" s="712"/>
      <c r="B53" s="159" t="str">
        <f>'IBS Action Plan 20170131'!B53</f>
        <v>DPG - Stony</v>
      </c>
      <c r="C53" s="162">
        <f>'IBS Action Plan 20170131'!C53</f>
        <v>0</v>
      </c>
      <c r="D53" s="162">
        <f>'IBS Action Plan 20170131'!D53</f>
        <v>0</v>
      </c>
      <c r="E53" s="162">
        <f>'IBS Action Plan 20170131'!E53</f>
        <v>0</v>
      </c>
      <c r="F53" s="162">
        <f>'IBS Action Plan 20170131'!F53</f>
        <v>0</v>
      </c>
      <c r="G53" s="162">
        <f>'IBS Action Plan 20170131'!G53</f>
        <v>0</v>
      </c>
      <c r="H53" s="162">
        <f>'IBS Action Plan 20170131'!H53</f>
        <v>0</v>
      </c>
      <c r="I53" s="426">
        <f>'IBS Action Plan 20170131'!I53</f>
        <v>0</v>
      </c>
      <c r="J53" s="162">
        <f>'IBS Action Plan 20170131'!J53</f>
        <v>235</v>
      </c>
      <c r="K53" s="162">
        <f>'IBS Action Plan 20170131'!K53</f>
        <v>29</v>
      </c>
      <c r="L53" s="162">
        <f>'IBS Action Plan 20170131'!L53</f>
        <v>206</v>
      </c>
      <c r="M53" s="162" t="str">
        <f>'IBS Action Plan 20170131'!N53</f>
        <v>2020</v>
      </c>
      <c r="N53" s="157"/>
      <c r="O53" s="282">
        <f>'IBS Action Plan 20170131'!P53</f>
        <v>0</v>
      </c>
      <c r="P53" s="283">
        <f>'IBS Action Plan 20170131'!Q53</f>
        <v>0</v>
      </c>
      <c r="Q53" s="283">
        <f>'IBS Action Plan 20170131'!R53</f>
        <v>0</v>
      </c>
      <c r="R53" s="283">
        <f>'IBS Action Plan 20170131'!S53</f>
        <v>0</v>
      </c>
      <c r="S53" s="283">
        <f>'IBS Action Plan 20170131'!T53</f>
        <v>0</v>
      </c>
      <c r="T53" s="283">
        <f>'IBS Action Plan 20170131'!U53</f>
        <v>0</v>
      </c>
      <c r="U53" s="283">
        <f>'IBS Action Plan 20170131'!V53</f>
        <v>0</v>
      </c>
      <c r="V53" s="283">
        <f>'IBS Action Plan 20170131'!W53</f>
        <v>0</v>
      </c>
      <c r="W53" s="283">
        <f>'IBS Action Plan 20170131'!X53</f>
        <v>0</v>
      </c>
      <c r="X53" s="283">
        <f>'IBS Action Plan 20170131'!Y53</f>
        <v>0</v>
      </c>
      <c r="Y53" s="283">
        <f>'IBS Action Plan 20170131'!Z53</f>
        <v>235</v>
      </c>
      <c r="Z53" s="153"/>
    </row>
    <row r="54" spans="1:26" x14ac:dyDescent="0.3">
      <c r="A54" s="712"/>
      <c r="B54" s="159" t="str">
        <f>'IBS Action Plan 20170131'!B54</f>
        <v>DPG - TFL30</v>
      </c>
      <c r="C54" s="162">
        <f>'IBS Action Plan 20170131'!C54</f>
        <v>0</v>
      </c>
      <c r="D54" s="162">
        <f>'IBS Action Plan 20170131'!D54</f>
        <v>0</v>
      </c>
      <c r="E54" s="162">
        <f>'IBS Action Plan 20170131'!E54</f>
        <v>50</v>
      </c>
      <c r="F54" s="162">
        <f>'IBS Action Plan 20170131'!F54</f>
        <v>3747</v>
      </c>
      <c r="G54" s="162">
        <f>'IBS Action Plan 20170131'!G54</f>
        <v>3797</v>
      </c>
      <c r="H54" s="162">
        <f>'IBS Action Plan 20170131'!H54</f>
        <v>1923.5</v>
      </c>
      <c r="I54" s="426">
        <f>'IBS Action Plan 20170131'!I54</f>
        <v>0.50658414537792995</v>
      </c>
      <c r="J54" s="162">
        <f>'IBS Action Plan 20170131'!J54</f>
        <v>4179</v>
      </c>
      <c r="K54" s="162">
        <f>'IBS Action Plan 20170131'!K54</f>
        <v>224</v>
      </c>
      <c r="L54" s="162">
        <f>'IBS Action Plan 20170131'!L54</f>
        <v>7752</v>
      </c>
      <c r="M54" s="162" t="str">
        <f>'IBS Action Plan 20170131'!N54</f>
        <v xml:space="preserve"> 2017-2023 </v>
      </c>
      <c r="N54" s="157"/>
      <c r="O54" s="282" t="str">
        <f>'IBS Action Plan 20170131'!P54</f>
        <v>Legal</v>
      </c>
      <c r="P54" s="283">
        <f>'IBS Action Plan 20170131'!Q54</f>
        <v>0</v>
      </c>
      <c r="Q54" s="283">
        <f>'IBS Action Plan 20170131'!R54</f>
        <v>0</v>
      </c>
      <c r="R54" s="283">
        <f>'IBS Action Plan 20170131'!S54</f>
        <v>0</v>
      </c>
      <c r="S54" s="283">
        <f>'IBS Action Plan 20170131'!T54</f>
        <v>891</v>
      </c>
      <c r="T54" s="283">
        <f>'IBS Action Plan 20170131'!U54</f>
        <v>1298</v>
      </c>
      <c r="U54" s="283">
        <f>'IBS Action Plan 20170131'!V54</f>
        <v>2189</v>
      </c>
      <c r="V54" s="283">
        <f>'IBS Action Plan 20170131'!W54</f>
        <v>79</v>
      </c>
      <c r="W54" s="283">
        <f>'IBS Action Plan 20170131'!X54</f>
        <v>2110</v>
      </c>
      <c r="X54" s="283" t="str">
        <f>'IBS Action Plan 20170131'!Y54</f>
        <v>TFL 30 OGMA</v>
      </c>
      <c r="Y54" s="283">
        <f>'IBS Action Plan 20170131'!Z54</f>
        <v>10165</v>
      </c>
      <c r="Z54" s="153"/>
    </row>
    <row r="55" spans="1:26" x14ac:dyDescent="0.3">
      <c r="A55" s="712"/>
      <c r="B55" s="159" t="str">
        <f>'IBS Action Plan 20170131'!B55</f>
        <v>DPG - Torpy</v>
      </c>
      <c r="C55" s="162">
        <f>'IBS Action Plan 20170131'!C55</f>
        <v>0</v>
      </c>
      <c r="D55" s="162">
        <f>'IBS Action Plan 20170131'!D55</f>
        <v>0</v>
      </c>
      <c r="E55" s="162">
        <f>'IBS Action Plan 20170131'!E55</f>
        <v>1</v>
      </c>
      <c r="F55" s="162">
        <f>'IBS Action Plan 20170131'!F55</f>
        <v>0</v>
      </c>
      <c r="G55" s="162">
        <f>'IBS Action Plan 20170131'!G55</f>
        <v>1</v>
      </c>
      <c r="H55" s="162">
        <f>'IBS Action Plan 20170131'!H55</f>
        <v>1</v>
      </c>
      <c r="I55" s="426">
        <f>'IBS Action Plan 20170131'!I55</f>
        <v>1</v>
      </c>
      <c r="J55" s="162">
        <f>'IBS Action Plan 20170131'!J55</f>
        <v>0</v>
      </c>
      <c r="K55" s="162" t="str">
        <f>'IBS Action Plan 20170131'!K55</f>
        <v xml:space="preserve"> -   </v>
      </c>
      <c r="L55" s="162">
        <f>'IBS Action Plan 20170131'!L55</f>
        <v>1</v>
      </c>
      <c r="M55" s="162" t="str">
        <f>'IBS Action Plan 20170131'!N55</f>
        <v xml:space="preserve"> 2019-2021 </v>
      </c>
      <c r="N55" s="157"/>
      <c r="O55" s="282" t="str">
        <f>'IBS Action Plan 20170131'!P55</f>
        <v>Legal</v>
      </c>
      <c r="P55" s="283">
        <f>'IBS Action Plan 20170131'!Q55</f>
        <v>0</v>
      </c>
      <c r="Q55" s="283">
        <f>'IBS Action Plan 20170131'!R55</f>
        <v>0</v>
      </c>
      <c r="R55" s="283">
        <f>'IBS Action Plan 20170131'!S55</f>
        <v>14</v>
      </c>
      <c r="S55" s="283">
        <f>'IBS Action Plan 20170131'!T55</f>
        <v>0</v>
      </c>
      <c r="T55" s="283">
        <f>'IBS Action Plan 20170131'!U55</f>
        <v>16</v>
      </c>
      <c r="U55" s="283">
        <f>'IBS Action Plan 20170131'!V55</f>
        <v>30</v>
      </c>
      <c r="V55" s="283">
        <f>'IBS Action Plan 20170131'!W55</f>
        <v>30</v>
      </c>
      <c r="W55" s="283">
        <f>'IBS Action Plan 20170131'!X55</f>
        <v>0</v>
      </c>
      <c r="X55" s="283" t="str">
        <f>'IBS Action Plan 20170131'!Y55</f>
        <v>A25 NDU Biodiversity</v>
      </c>
      <c r="Y55" s="283">
        <f>'IBS Action Plan 20170131'!Z55</f>
        <v>31</v>
      </c>
      <c r="Z55" s="153"/>
    </row>
    <row r="56" spans="1:26" x14ac:dyDescent="0.3">
      <c r="A56" s="712"/>
      <c r="B56" s="159" t="str">
        <f>'IBS Action Plan 20170131'!B56</f>
        <v>DPG - Tumuch</v>
      </c>
      <c r="C56" s="162">
        <f>'IBS Action Plan 20170131'!C56</f>
        <v>0</v>
      </c>
      <c r="D56" s="162">
        <f>'IBS Action Plan 20170131'!D56</f>
        <v>0</v>
      </c>
      <c r="E56" s="162">
        <f>'IBS Action Plan 20170131'!E56</f>
        <v>0</v>
      </c>
      <c r="F56" s="162">
        <f>'IBS Action Plan 20170131'!F56</f>
        <v>15</v>
      </c>
      <c r="G56" s="162">
        <f>'IBS Action Plan 20170131'!G56</f>
        <v>15</v>
      </c>
      <c r="H56" s="162">
        <f>'IBS Action Plan 20170131'!H56</f>
        <v>7.5</v>
      </c>
      <c r="I56" s="426">
        <f>'IBS Action Plan 20170131'!I56</f>
        <v>0.5</v>
      </c>
      <c r="J56" s="162">
        <f>'IBS Action Plan 20170131'!J56</f>
        <v>293</v>
      </c>
      <c r="K56" s="162">
        <f>'IBS Action Plan 20170131'!K56</f>
        <v>35</v>
      </c>
      <c r="L56" s="162">
        <f>'IBS Action Plan 20170131'!L56</f>
        <v>273</v>
      </c>
      <c r="M56" s="162" t="str">
        <f>'IBS Action Plan 20170131'!N56</f>
        <v xml:space="preserve"> 2017-2019 </v>
      </c>
      <c r="N56" s="157"/>
      <c r="O56" s="282">
        <f>'IBS Action Plan 20170131'!P56</f>
        <v>0</v>
      </c>
      <c r="P56" s="283">
        <f>'IBS Action Plan 20170131'!Q56</f>
        <v>0</v>
      </c>
      <c r="Q56" s="283">
        <f>'IBS Action Plan 20170131'!R56</f>
        <v>0</v>
      </c>
      <c r="R56" s="283">
        <f>'IBS Action Plan 20170131'!S56</f>
        <v>0</v>
      </c>
      <c r="S56" s="283">
        <f>'IBS Action Plan 20170131'!T56</f>
        <v>0</v>
      </c>
      <c r="T56" s="283">
        <f>'IBS Action Plan 20170131'!U56</f>
        <v>0</v>
      </c>
      <c r="U56" s="283">
        <f>'IBS Action Plan 20170131'!V56</f>
        <v>0</v>
      </c>
      <c r="V56" s="283">
        <f>'IBS Action Plan 20170131'!W56</f>
        <v>0</v>
      </c>
      <c r="W56" s="283">
        <f>'IBS Action Plan 20170131'!X56</f>
        <v>0</v>
      </c>
      <c r="X56" s="283">
        <f>'IBS Action Plan 20170131'!Y56</f>
        <v>0</v>
      </c>
      <c r="Y56" s="283">
        <f>'IBS Action Plan 20170131'!Z56</f>
        <v>308</v>
      </c>
      <c r="Z56" s="153"/>
    </row>
    <row r="57" spans="1:26" x14ac:dyDescent="0.3">
      <c r="A57" s="712"/>
      <c r="B57" s="159" t="str">
        <f>'IBS Action Plan 20170131'!B57</f>
        <v>DPG - War</v>
      </c>
      <c r="C57" s="162">
        <f>'IBS Action Plan 20170131'!C57</f>
        <v>0</v>
      </c>
      <c r="D57" s="162">
        <f>'IBS Action Plan 20170131'!D57</f>
        <v>0</v>
      </c>
      <c r="E57" s="162">
        <f>'IBS Action Plan 20170131'!E57</f>
        <v>0</v>
      </c>
      <c r="F57" s="162">
        <f>'IBS Action Plan 20170131'!F57</f>
        <v>663</v>
      </c>
      <c r="G57" s="162">
        <f>'IBS Action Plan 20170131'!G57</f>
        <v>663</v>
      </c>
      <c r="H57" s="162">
        <f>'IBS Action Plan 20170131'!H57</f>
        <v>331.5</v>
      </c>
      <c r="I57" s="426">
        <f>'IBS Action Plan 20170131'!I57</f>
        <v>0.5</v>
      </c>
      <c r="J57" s="162">
        <f>'IBS Action Plan 20170131'!J57</f>
        <v>1036</v>
      </c>
      <c r="K57" s="162">
        <f>'IBS Action Plan 20170131'!K57</f>
        <v>12</v>
      </c>
      <c r="L57" s="162">
        <f>'IBS Action Plan 20170131'!L57</f>
        <v>1687</v>
      </c>
      <c r="M57" s="162" t="str">
        <f>'IBS Action Plan 20170131'!N57</f>
        <v xml:space="preserve"> 2017-2018 </v>
      </c>
      <c r="N57" s="157"/>
      <c r="O57" s="282">
        <f>'IBS Action Plan 20170131'!P57</f>
        <v>0</v>
      </c>
      <c r="P57" s="283">
        <f>'IBS Action Plan 20170131'!Q57</f>
        <v>0</v>
      </c>
      <c r="Q57" s="283">
        <f>'IBS Action Plan 20170131'!R57</f>
        <v>0</v>
      </c>
      <c r="R57" s="283">
        <f>'IBS Action Plan 20170131'!S57</f>
        <v>0</v>
      </c>
      <c r="S57" s="283">
        <f>'IBS Action Plan 20170131'!T57</f>
        <v>0</v>
      </c>
      <c r="T57" s="283">
        <f>'IBS Action Plan 20170131'!U57</f>
        <v>0</v>
      </c>
      <c r="U57" s="283">
        <f>'IBS Action Plan 20170131'!V57</f>
        <v>0</v>
      </c>
      <c r="V57" s="283">
        <f>'IBS Action Plan 20170131'!W57</f>
        <v>0</v>
      </c>
      <c r="W57" s="283">
        <f>'IBS Action Plan 20170131'!X57</f>
        <v>0</v>
      </c>
      <c r="X57" s="283">
        <f>'IBS Action Plan 20170131'!Y57</f>
        <v>0</v>
      </c>
      <c r="Y57" s="283">
        <f>'IBS Action Plan 20170131'!Z57</f>
        <v>1699</v>
      </c>
      <c r="Z57" s="153"/>
    </row>
    <row r="58" spans="1:26" x14ac:dyDescent="0.3">
      <c r="A58" s="753"/>
      <c r="B58" s="159" t="str">
        <f>'IBS Action Plan 20170131'!B58</f>
        <v>DPG - Weedon</v>
      </c>
      <c r="C58" s="78">
        <f>'IBS Action Plan 20170131'!C58</f>
        <v>0</v>
      </c>
      <c r="D58" s="78">
        <f>'IBS Action Plan 20170131'!D58</f>
        <v>0</v>
      </c>
      <c r="E58" s="78">
        <f>'IBS Action Plan 20170131'!E58</f>
        <v>0</v>
      </c>
      <c r="F58" s="78">
        <f>'IBS Action Plan 20170131'!F58</f>
        <v>35</v>
      </c>
      <c r="G58" s="78">
        <f>'IBS Action Plan 20170131'!G58</f>
        <v>35</v>
      </c>
      <c r="H58" s="78">
        <f>'IBS Action Plan 20170131'!H58</f>
        <v>17.5</v>
      </c>
      <c r="I58" s="427">
        <f>'IBS Action Plan 20170131'!I58</f>
        <v>0.5</v>
      </c>
      <c r="J58" s="78">
        <f>'IBS Action Plan 20170131'!J58</f>
        <v>6</v>
      </c>
      <c r="K58" s="78" t="str">
        <f>'IBS Action Plan 20170131'!K58</f>
        <v xml:space="preserve"> -   </v>
      </c>
      <c r="L58" s="78">
        <f>'IBS Action Plan 20170131'!L58</f>
        <v>41</v>
      </c>
      <c r="M58" s="78" t="str">
        <f>'IBS Action Plan 20170131'!N58</f>
        <v>2018</v>
      </c>
      <c r="N58" s="157"/>
      <c r="O58" s="284">
        <f>'IBS Action Plan 20170131'!P58</f>
        <v>0</v>
      </c>
      <c r="P58" s="285">
        <f>'IBS Action Plan 20170131'!Q58</f>
        <v>0</v>
      </c>
      <c r="Q58" s="285">
        <f>'IBS Action Plan 20170131'!R58</f>
        <v>0</v>
      </c>
      <c r="R58" s="285">
        <f>'IBS Action Plan 20170131'!S58</f>
        <v>0</v>
      </c>
      <c r="S58" s="285">
        <f>'IBS Action Plan 20170131'!T58</f>
        <v>0</v>
      </c>
      <c r="T58" s="285">
        <f>'IBS Action Plan 20170131'!U58</f>
        <v>0</v>
      </c>
      <c r="U58" s="285">
        <f>'IBS Action Plan 20170131'!V58</f>
        <v>0</v>
      </c>
      <c r="V58" s="285">
        <f>'IBS Action Plan 20170131'!W58</f>
        <v>0</v>
      </c>
      <c r="W58" s="285">
        <f>'IBS Action Plan 20170131'!X58</f>
        <v>0</v>
      </c>
      <c r="X58" s="285">
        <f>'IBS Action Plan 20170131'!Y58</f>
        <v>0</v>
      </c>
      <c r="Y58" s="285">
        <f>'IBS Action Plan 20170131'!Z58</f>
        <v>41</v>
      </c>
      <c r="Z58" s="153"/>
    </row>
    <row r="59" spans="1:26" x14ac:dyDescent="0.3">
      <c r="A59" s="158" t="str">
        <f>'IBS Action Plan 20170131'!A59</f>
        <v>Subtotal</v>
      </c>
      <c r="B59" s="61" t="str">
        <f>'IBS Action Plan 20170131'!B59</f>
        <v>Canfor PG District + TFL 30</v>
      </c>
      <c r="C59" s="114">
        <f>'IBS Action Plan 20170131'!C59</f>
        <v>59</v>
      </c>
      <c r="D59" s="114">
        <f>'IBS Action Plan 20170131'!D59</f>
        <v>723</v>
      </c>
      <c r="E59" s="114">
        <f>'IBS Action Plan 20170131'!E59</f>
        <v>2671</v>
      </c>
      <c r="F59" s="114">
        <f>'IBS Action Plan 20170131'!F59</f>
        <v>13515</v>
      </c>
      <c r="G59" s="114">
        <f>'IBS Action Plan 20170131'!G59</f>
        <v>16968</v>
      </c>
      <c r="H59" s="114">
        <f>'IBS Action Plan 20170131'!H59</f>
        <v>10210.5</v>
      </c>
      <c r="I59" s="428">
        <f>'IBS Action Plan 20170131'!I59</f>
        <v>0.6017503536067893</v>
      </c>
      <c r="J59" s="114">
        <f>'IBS Action Plan 20170131'!J59</f>
        <v>10555</v>
      </c>
      <c r="K59" s="114">
        <f>'IBS Action Plan 20170131'!K59</f>
        <v>3242</v>
      </c>
      <c r="L59" s="114">
        <f>'IBS Action Plan 20170131'!L59</f>
        <v>24281</v>
      </c>
      <c r="M59" s="72">
        <f>'IBS Action Plan 20170131'!N59</f>
        <v>0</v>
      </c>
      <c r="N59" s="157"/>
      <c r="O59" s="288">
        <f>'IBS Action Plan 20170131'!P59</f>
        <v>0</v>
      </c>
      <c r="P59" s="289">
        <f>'IBS Action Plan 20170131'!Q59</f>
        <v>0</v>
      </c>
      <c r="Q59" s="289">
        <f>'IBS Action Plan 20170131'!R59</f>
        <v>12</v>
      </c>
      <c r="R59" s="289">
        <f>'IBS Action Plan 20170131'!S59</f>
        <v>415</v>
      </c>
      <c r="S59" s="289">
        <f>'IBS Action Plan 20170131'!T59</f>
        <v>1530</v>
      </c>
      <c r="T59" s="289">
        <f>'IBS Action Plan 20170131'!U59</f>
        <v>1622</v>
      </c>
      <c r="U59" s="289">
        <f>'IBS Action Plan 20170131'!V59</f>
        <v>3579</v>
      </c>
      <c r="V59" s="289">
        <f>'IBS Action Plan 20170131'!W59</f>
        <v>332</v>
      </c>
      <c r="W59" s="289">
        <f>'IBS Action Plan 20170131'!X59</f>
        <v>3247</v>
      </c>
      <c r="X59" s="289">
        <f>'IBS Action Plan 20170131'!Y59</f>
        <v>0</v>
      </c>
      <c r="Y59" s="289">
        <f>'IBS Action Plan 20170131'!Z59</f>
        <v>31102</v>
      </c>
      <c r="Z59" s="35"/>
    </row>
    <row r="60" spans="1:26" x14ac:dyDescent="0.3">
      <c r="A60" s="744" t="str">
        <f>'IBS Action Plan 20170131'!A60:A71</f>
        <v>Sinclar</v>
      </c>
      <c r="B60" s="159" t="str">
        <f>'IBS Action Plan 20170131'!B60</f>
        <v>Bear Lake West</v>
      </c>
      <c r="C60" s="162">
        <f>'IBS Action Plan 20170131'!C60</f>
        <v>44</v>
      </c>
      <c r="D60" s="162">
        <f>'IBS Action Plan 20170131'!D60</f>
        <v>805</v>
      </c>
      <c r="E60" s="162">
        <f>'IBS Action Plan 20170131'!E60</f>
        <v>2236</v>
      </c>
      <c r="F60" s="162">
        <f>'IBS Action Plan 20170131'!F60</f>
        <v>3023</v>
      </c>
      <c r="G60" s="162">
        <f>'IBS Action Plan 20170131'!G60</f>
        <v>6108</v>
      </c>
      <c r="H60" s="162">
        <f>'IBS Action Plan 20170131'!H60</f>
        <v>4596.5</v>
      </c>
      <c r="I60" s="426">
        <f>'IBS Action Plan 20170131'!I60</f>
        <v>0.75253765553372631</v>
      </c>
      <c r="J60" s="162">
        <f>'IBS Action Plan 20170131'!J60</f>
        <v>149</v>
      </c>
      <c r="K60" s="162">
        <f>'IBS Action Plan 20170131'!K60</f>
        <v>138</v>
      </c>
      <c r="L60" s="162">
        <f>'IBS Action Plan 20170131'!L60</f>
        <v>6119</v>
      </c>
      <c r="M60" s="162" t="str">
        <f>'IBS Action Plan 20170131'!N60</f>
        <v>2017-23</v>
      </c>
      <c r="N60" s="157"/>
      <c r="O60" s="286">
        <f>'IBS Action Plan 20170131'!P60</f>
        <v>0</v>
      </c>
      <c r="P60" s="287">
        <f>'IBS Action Plan 20170131'!Q60</f>
        <v>0</v>
      </c>
      <c r="Q60" s="287">
        <f>'IBS Action Plan 20170131'!R60</f>
        <v>0</v>
      </c>
      <c r="R60" s="287">
        <f>'IBS Action Plan 20170131'!S60</f>
        <v>0</v>
      </c>
      <c r="S60" s="287">
        <f>'IBS Action Plan 20170131'!T60</f>
        <v>0</v>
      </c>
      <c r="T60" s="287">
        <f>'IBS Action Plan 20170131'!U60</f>
        <v>0</v>
      </c>
      <c r="U60" s="287">
        <f>'IBS Action Plan 20170131'!V60</f>
        <v>0</v>
      </c>
      <c r="V60" s="287">
        <f>'IBS Action Plan 20170131'!W60</f>
        <v>0</v>
      </c>
      <c r="W60" s="287">
        <f>'IBS Action Plan 20170131'!X60</f>
        <v>0</v>
      </c>
      <c r="X60" s="287">
        <f>'IBS Action Plan 20170131'!Y60</f>
        <v>0</v>
      </c>
      <c r="Y60" s="287">
        <f>'IBS Action Plan 20170131'!Z60</f>
        <v>6257</v>
      </c>
      <c r="Z60" s="153"/>
    </row>
    <row r="61" spans="1:26" x14ac:dyDescent="0.3">
      <c r="A61" s="745"/>
      <c r="B61" s="29" t="str">
        <f>'IBS Action Plan 20170131'!B61</f>
        <v>Carp</v>
      </c>
      <c r="C61" s="162">
        <f>'IBS Action Plan 20170131'!C61</f>
        <v>117</v>
      </c>
      <c r="D61" s="162">
        <f>'IBS Action Plan 20170131'!D61</f>
        <v>17</v>
      </c>
      <c r="E61" s="162">
        <f>'IBS Action Plan 20170131'!E61</f>
        <v>128</v>
      </c>
      <c r="F61" s="162">
        <f>'IBS Action Plan 20170131'!F61</f>
        <v>169</v>
      </c>
      <c r="G61" s="162">
        <f>'IBS Action Plan 20170131'!G61</f>
        <v>431</v>
      </c>
      <c r="H61" s="162">
        <f>'IBS Action Plan 20170131'!H61</f>
        <v>346.5</v>
      </c>
      <c r="I61" s="426">
        <f>'IBS Action Plan 20170131'!I61</f>
        <v>0.80394431554524359</v>
      </c>
      <c r="J61" s="162">
        <f>'IBS Action Plan 20170131'!J61</f>
        <v>36</v>
      </c>
      <c r="K61" s="162">
        <f>'IBS Action Plan 20170131'!K61</f>
        <v>5</v>
      </c>
      <c r="L61" s="162">
        <f>'IBS Action Plan 20170131'!L61</f>
        <v>462</v>
      </c>
      <c r="M61" s="162" t="str">
        <f>'IBS Action Plan 20170131'!N61</f>
        <v>2017-23</v>
      </c>
      <c r="N61" s="157"/>
      <c r="O61" s="282">
        <f>'IBS Action Plan 20170131'!P61</f>
        <v>0</v>
      </c>
      <c r="P61" s="283">
        <f>'IBS Action Plan 20170131'!Q61</f>
        <v>0</v>
      </c>
      <c r="Q61" s="283">
        <f>'IBS Action Plan 20170131'!R61</f>
        <v>0</v>
      </c>
      <c r="R61" s="283">
        <f>'IBS Action Plan 20170131'!S61</f>
        <v>0</v>
      </c>
      <c r="S61" s="283">
        <f>'IBS Action Plan 20170131'!T61</f>
        <v>0</v>
      </c>
      <c r="T61" s="283">
        <f>'IBS Action Plan 20170131'!U61</f>
        <v>0</v>
      </c>
      <c r="U61" s="283">
        <f>'IBS Action Plan 20170131'!V61</f>
        <v>0</v>
      </c>
      <c r="V61" s="283">
        <f>'IBS Action Plan 20170131'!W61</f>
        <v>0</v>
      </c>
      <c r="W61" s="283">
        <f>'IBS Action Plan 20170131'!X61</f>
        <v>0</v>
      </c>
      <c r="X61" s="283">
        <f>'IBS Action Plan 20170131'!Y61</f>
        <v>0</v>
      </c>
      <c r="Y61" s="283">
        <f>'IBS Action Plan 20170131'!Z61</f>
        <v>467</v>
      </c>
      <c r="Z61" s="153"/>
    </row>
    <row r="62" spans="1:26" x14ac:dyDescent="0.3">
      <c r="A62" s="745"/>
      <c r="B62" s="29" t="str">
        <f>'IBS Action Plan 20170131'!B62</f>
        <v>Wichcika</v>
      </c>
      <c r="C62" s="162">
        <f>'IBS Action Plan 20170131'!C62</f>
        <v>0</v>
      </c>
      <c r="D62" s="162">
        <f>'IBS Action Plan 20170131'!D62</f>
        <v>40</v>
      </c>
      <c r="E62" s="162">
        <f>'IBS Action Plan 20170131'!E62</f>
        <v>278</v>
      </c>
      <c r="F62" s="162">
        <f>'IBS Action Plan 20170131'!F62</f>
        <v>1335</v>
      </c>
      <c r="G62" s="162">
        <f>'IBS Action Plan 20170131'!G62</f>
        <v>1653</v>
      </c>
      <c r="H62" s="162">
        <f>'IBS Action Plan 20170131'!H62</f>
        <v>985.5</v>
      </c>
      <c r="I62" s="426">
        <f>'IBS Action Plan 20170131'!I62</f>
        <v>0.59618874773139741</v>
      </c>
      <c r="J62" s="162">
        <f>'IBS Action Plan 20170131'!J62</f>
        <v>32</v>
      </c>
      <c r="K62" s="162">
        <f>'IBS Action Plan 20170131'!K62</f>
        <v>148</v>
      </c>
      <c r="L62" s="162">
        <f>'IBS Action Plan 20170131'!L62</f>
        <v>1537</v>
      </c>
      <c r="M62" s="162" t="str">
        <f>'IBS Action Plan 20170131'!N62</f>
        <v>2017-23</v>
      </c>
      <c r="N62" s="157"/>
      <c r="O62" s="282" t="str">
        <f>'IBS Action Plan 20170131'!P62</f>
        <v>Legal</v>
      </c>
      <c r="P62" s="283">
        <f>'IBS Action Plan 20170131'!Q62</f>
        <v>0</v>
      </c>
      <c r="Q62" s="283">
        <f>'IBS Action Plan 20170131'!R62</f>
        <v>0</v>
      </c>
      <c r="R62" s="283">
        <f>'IBS Action Plan 20170131'!S62</f>
        <v>7</v>
      </c>
      <c r="S62" s="283">
        <f>'IBS Action Plan 20170131'!T62</f>
        <v>67</v>
      </c>
      <c r="T62" s="283">
        <f>'IBS Action Plan 20170131'!U62</f>
        <v>0</v>
      </c>
      <c r="U62" s="283">
        <f>'IBS Action Plan 20170131'!V62</f>
        <v>74</v>
      </c>
      <c r="V62" s="283">
        <f>'IBS Action Plan 20170131'!W62</f>
        <v>8</v>
      </c>
      <c r="W62" s="283">
        <f>'IBS Action Plan 20170131'!X62</f>
        <v>66</v>
      </c>
      <c r="X62" s="283" t="str">
        <f>'IBS Action Plan 20170131'!Y62</f>
        <v>A14/A17 NDU Biodiversity; Road Access, practicality</v>
      </c>
      <c r="Y62" s="283">
        <f>'IBS Action Plan 20170131'!Z62</f>
        <v>1759</v>
      </c>
      <c r="Z62" s="153"/>
    </row>
    <row r="63" spans="1:26" x14ac:dyDescent="0.3">
      <c r="A63" s="745"/>
      <c r="B63" s="29" t="str">
        <f>'IBS Action Plan 20170131'!B63</f>
        <v>Parsnip</v>
      </c>
      <c r="C63" s="162">
        <f>'IBS Action Plan 20170131'!C63</f>
        <v>0</v>
      </c>
      <c r="D63" s="162">
        <f>'IBS Action Plan 20170131'!D63</f>
        <v>825</v>
      </c>
      <c r="E63" s="162">
        <f>'IBS Action Plan 20170131'!E63</f>
        <v>2328</v>
      </c>
      <c r="F63" s="162">
        <f>'IBS Action Plan 20170131'!F63</f>
        <v>2241</v>
      </c>
      <c r="G63" s="162">
        <f>'IBS Action Plan 20170131'!G63</f>
        <v>5394</v>
      </c>
      <c r="H63" s="162">
        <f>'IBS Action Plan 20170131'!H63</f>
        <v>4273.5</v>
      </c>
      <c r="I63" s="426">
        <f>'IBS Action Plan 20170131'!I63</f>
        <v>0.7922691879866518</v>
      </c>
      <c r="J63" s="162">
        <f>'IBS Action Plan 20170131'!J63</f>
        <v>111</v>
      </c>
      <c r="K63" s="162">
        <f>'IBS Action Plan 20170131'!K63</f>
        <v>1286</v>
      </c>
      <c r="L63" s="162">
        <f>'IBS Action Plan 20170131'!L63</f>
        <v>4219</v>
      </c>
      <c r="M63" s="162" t="str">
        <f>'IBS Action Plan 20170131'!N63</f>
        <v>2017-21</v>
      </c>
      <c r="N63" s="157"/>
      <c r="O63" s="282" t="str">
        <f>'IBS Action Plan 20170131'!P63</f>
        <v>Legal</v>
      </c>
      <c r="P63" s="283">
        <f>'IBS Action Plan 20170131'!Q63</f>
        <v>4</v>
      </c>
      <c r="Q63" s="283">
        <f>'IBS Action Plan 20170131'!R63</f>
        <v>431</v>
      </c>
      <c r="R63" s="283">
        <f>'IBS Action Plan 20170131'!S63</f>
        <v>1389</v>
      </c>
      <c r="S63" s="283">
        <f>'IBS Action Plan 20170131'!T63</f>
        <v>2926</v>
      </c>
      <c r="T63" s="283">
        <f>'IBS Action Plan 20170131'!U63</f>
        <v>18</v>
      </c>
      <c r="U63" s="283">
        <f>'IBS Action Plan 20170131'!V63</f>
        <v>4768</v>
      </c>
      <c r="V63" s="283">
        <f>'IBS Action Plan 20170131'!W63</f>
        <v>2092</v>
      </c>
      <c r="W63" s="283">
        <f>'IBS Action Plan 20170131'!X63</f>
        <v>2676</v>
      </c>
      <c r="X63" s="283" t="str">
        <f>'IBS Action Plan 20170131'!Y63</f>
        <v>A14/A17 NDU Biodiversity; Road Access, practicality</v>
      </c>
      <c r="Y63" s="283">
        <f>'IBS Action Plan 20170131'!Z63</f>
        <v>10273</v>
      </c>
      <c r="Z63" s="153"/>
    </row>
    <row r="64" spans="1:26" x14ac:dyDescent="0.3">
      <c r="A64" s="745"/>
      <c r="B64" s="29" t="str">
        <f>'IBS Action Plan 20170131'!B64</f>
        <v>Missinka Winton</v>
      </c>
      <c r="C64" s="162">
        <f>'IBS Action Plan 20170131'!C64</f>
        <v>0</v>
      </c>
      <c r="D64" s="162">
        <f>'IBS Action Plan 20170131'!D64</f>
        <v>79</v>
      </c>
      <c r="E64" s="162">
        <f>'IBS Action Plan 20170131'!E64</f>
        <v>1681</v>
      </c>
      <c r="F64" s="162">
        <f>'IBS Action Plan 20170131'!F64</f>
        <v>1373</v>
      </c>
      <c r="G64" s="162">
        <f>'IBS Action Plan 20170131'!G64</f>
        <v>3133</v>
      </c>
      <c r="H64" s="162">
        <f>'IBS Action Plan 20170131'!H64</f>
        <v>2446.5</v>
      </c>
      <c r="I64" s="426">
        <f>'IBS Action Plan 20170131'!I64</f>
        <v>0.78088094478135972</v>
      </c>
      <c r="J64" s="162">
        <f>'IBS Action Plan 20170131'!J64</f>
        <v>136</v>
      </c>
      <c r="K64" s="162">
        <f>'IBS Action Plan 20170131'!K64</f>
        <v>706</v>
      </c>
      <c r="L64" s="162">
        <f>'IBS Action Plan 20170131'!L64</f>
        <v>2563</v>
      </c>
      <c r="M64" s="162" t="str">
        <f>'IBS Action Plan 20170131'!N64</f>
        <v>2021-23</v>
      </c>
      <c r="N64" s="157"/>
      <c r="O64" s="282" t="str">
        <f>'IBS Action Plan 20170131'!P64</f>
        <v>Legal</v>
      </c>
      <c r="P64" s="283">
        <f>'IBS Action Plan 20170131'!Q64</f>
        <v>0</v>
      </c>
      <c r="Q64" s="283">
        <f>'IBS Action Plan 20170131'!R64</f>
        <v>38</v>
      </c>
      <c r="R64" s="283">
        <f>'IBS Action Plan 20170131'!S64</f>
        <v>125</v>
      </c>
      <c r="S64" s="283">
        <f>'IBS Action Plan 20170131'!T64</f>
        <v>352</v>
      </c>
      <c r="T64" s="283">
        <f>'IBS Action Plan 20170131'!U64</f>
        <v>6</v>
      </c>
      <c r="U64" s="283">
        <f>'IBS Action Plan 20170131'!V64</f>
        <v>521</v>
      </c>
      <c r="V64" s="283">
        <f>'IBS Action Plan 20170131'!W64</f>
        <v>205</v>
      </c>
      <c r="W64" s="283">
        <f>'IBS Action Plan 20170131'!X64</f>
        <v>316</v>
      </c>
      <c r="X64" s="283" t="str">
        <f>'IBS Action Plan 20170131'!Y64</f>
        <v>A14/A17 NDU Biodiversity; Road Access, practicality</v>
      </c>
      <c r="Y64" s="283">
        <f>'IBS Action Plan 20170131'!Z64</f>
        <v>3790</v>
      </c>
      <c r="Z64" s="153"/>
    </row>
    <row r="65" spans="1:26" x14ac:dyDescent="0.3">
      <c r="A65" s="745"/>
      <c r="B65" s="29" t="str">
        <f>'IBS Action Plan 20170131'!B65</f>
        <v>Missinka Lakeland</v>
      </c>
      <c r="C65" s="162">
        <f>'IBS Action Plan 20170131'!C65</f>
        <v>0</v>
      </c>
      <c r="D65" s="162">
        <f>'IBS Action Plan 20170131'!D65</f>
        <v>0</v>
      </c>
      <c r="E65" s="162">
        <f>'IBS Action Plan 20170131'!E65</f>
        <v>66</v>
      </c>
      <c r="F65" s="162">
        <f>'IBS Action Plan 20170131'!F65</f>
        <v>674</v>
      </c>
      <c r="G65" s="162">
        <f>'IBS Action Plan 20170131'!G65</f>
        <v>740</v>
      </c>
      <c r="H65" s="162">
        <f>'IBS Action Plan 20170131'!H65</f>
        <v>403</v>
      </c>
      <c r="I65" s="426">
        <f>'IBS Action Plan 20170131'!I65</f>
        <v>0.54459459459459458</v>
      </c>
      <c r="J65" s="162">
        <f>'IBS Action Plan 20170131'!J65</f>
        <v>44</v>
      </c>
      <c r="K65" s="162">
        <f>'IBS Action Plan 20170131'!K65</f>
        <v>140</v>
      </c>
      <c r="L65" s="162">
        <f>'IBS Action Plan 20170131'!L65</f>
        <v>644</v>
      </c>
      <c r="M65" s="162" t="str">
        <f>'IBS Action Plan 20170131'!N65</f>
        <v>2021-23</v>
      </c>
      <c r="N65" s="157"/>
      <c r="O65" s="282">
        <f>'IBS Action Plan 20170131'!P65</f>
        <v>0</v>
      </c>
      <c r="P65" s="283">
        <f>'IBS Action Plan 20170131'!Q65</f>
        <v>0</v>
      </c>
      <c r="Q65" s="283">
        <f>'IBS Action Plan 20170131'!R65</f>
        <v>0</v>
      </c>
      <c r="R65" s="283">
        <f>'IBS Action Plan 20170131'!S65</f>
        <v>0</v>
      </c>
      <c r="S65" s="283">
        <f>'IBS Action Plan 20170131'!T65</f>
        <v>0</v>
      </c>
      <c r="T65" s="283">
        <f>'IBS Action Plan 20170131'!U65</f>
        <v>0</v>
      </c>
      <c r="U65" s="283">
        <f>'IBS Action Plan 20170131'!V65</f>
        <v>0</v>
      </c>
      <c r="V65" s="283">
        <f>'IBS Action Plan 20170131'!W65</f>
        <v>0</v>
      </c>
      <c r="W65" s="283">
        <f>'IBS Action Plan 20170131'!X65</f>
        <v>0</v>
      </c>
      <c r="X65" s="283">
        <f>'IBS Action Plan 20170131'!Y65</f>
        <v>0</v>
      </c>
      <c r="Y65" s="283">
        <f>'IBS Action Plan 20170131'!Z65</f>
        <v>784</v>
      </c>
      <c r="Z65" s="153"/>
    </row>
    <row r="66" spans="1:26" x14ac:dyDescent="0.3">
      <c r="A66" s="745"/>
      <c r="B66" s="29" t="str">
        <f>'IBS Action Plan 20170131'!B66</f>
        <v>Table</v>
      </c>
      <c r="C66" s="162">
        <f>'IBS Action Plan 20170131'!C66</f>
        <v>0</v>
      </c>
      <c r="D66" s="162">
        <f>'IBS Action Plan 20170131'!D66</f>
        <v>0</v>
      </c>
      <c r="E66" s="162">
        <f>'IBS Action Plan 20170131'!E66</f>
        <v>1706</v>
      </c>
      <c r="F66" s="162">
        <f>'IBS Action Plan 20170131'!F66</f>
        <v>1244</v>
      </c>
      <c r="G66" s="162">
        <f>'IBS Action Plan 20170131'!G66</f>
        <v>2950</v>
      </c>
      <c r="H66" s="162">
        <f>'IBS Action Plan 20170131'!H66</f>
        <v>2328</v>
      </c>
      <c r="I66" s="426">
        <f>'IBS Action Plan 20170131'!I66</f>
        <v>0.78915254237288135</v>
      </c>
      <c r="J66" s="162">
        <f>'IBS Action Plan 20170131'!J66</f>
        <v>153</v>
      </c>
      <c r="K66" s="162">
        <f>'IBS Action Plan 20170131'!K66</f>
        <v>460</v>
      </c>
      <c r="L66" s="162">
        <f>'IBS Action Plan 20170131'!L66</f>
        <v>2643</v>
      </c>
      <c r="M66" s="162" t="str">
        <f>'IBS Action Plan 20170131'!N66</f>
        <v>2021-23</v>
      </c>
      <c r="N66" s="157"/>
      <c r="O66" s="282">
        <f>'IBS Action Plan 20170131'!P66</f>
        <v>0</v>
      </c>
      <c r="P66" s="283">
        <f>'IBS Action Plan 20170131'!Q66</f>
        <v>0</v>
      </c>
      <c r="Q66" s="283">
        <f>'IBS Action Plan 20170131'!R66</f>
        <v>0</v>
      </c>
      <c r="R66" s="283">
        <f>'IBS Action Plan 20170131'!S66</f>
        <v>0</v>
      </c>
      <c r="S66" s="283">
        <f>'IBS Action Plan 20170131'!T66</f>
        <v>0</v>
      </c>
      <c r="T66" s="283">
        <f>'IBS Action Plan 20170131'!U66</f>
        <v>0</v>
      </c>
      <c r="U66" s="283">
        <f>'IBS Action Plan 20170131'!V66</f>
        <v>0</v>
      </c>
      <c r="V66" s="283">
        <f>'IBS Action Plan 20170131'!W66</f>
        <v>0</v>
      </c>
      <c r="W66" s="283">
        <f>'IBS Action Plan 20170131'!X66</f>
        <v>0</v>
      </c>
      <c r="X66" s="283">
        <f>'IBS Action Plan 20170131'!Y66</f>
        <v>0</v>
      </c>
      <c r="Y66" s="283">
        <f>'IBS Action Plan 20170131'!Z66</f>
        <v>3103</v>
      </c>
      <c r="Z66" s="153"/>
    </row>
    <row r="67" spans="1:26" x14ac:dyDescent="0.3">
      <c r="A67" s="745"/>
      <c r="B67" s="29" t="str">
        <f>'IBS Action Plan 20170131'!B67</f>
        <v>Angusmac</v>
      </c>
      <c r="C67" s="162">
        <f>'IBS Action Plan 20170131'!C67</f>
        <v>0</v>
      </c>
      <c r="D67" s="162">
        <f>'IBS Action Plan 20170131'!D67</f>
        <v>8</v>
      </c>
      <c r="E67" s="162">
        <f>'IBS Action Plan 20170131'!E67</f>
        <v>0</v>
      </c>
      <c r="F67" s="162">
        <f>'IBS Action Plan 20170131'!F67</f>
        <v>5</v>
      </c>
      <c r="G67" s="162">
        <f>'IBS Action Plan 20170131'!G67</f>
        <v>13</v>
      </c>
      <c r="H67" s="162">
        <f>'IBS Action Plan 20170131'!H67</f>
        <v>10.5</v>
      </c>
      <c r="I67" s="426">
        <f>'IBS Action Plan 20170131'!I67</f>
        <v>0.80769230769230771</v>
      </c>
      <c r="J67" s="162">
        <f>'IBS Action Plan 20170131'!J67</f>
        <v>54</v>
      </c>
      <c r="K67" s="162">
        <f>'IBS Action Plan 20170131'!K67</f>
        <v>7</v>
      </c>
      <c r="L67" s="162">
        <f>'IBS Action Plan 20170131'!L67</f>
        <v>60</v>
      </c>
      <c r="M67" s="162" t="str">
        <f>'IBS Action Plan 20170131'!N67</f>
        <v>2020</v>
      </c>
      <c r="N67" s="157"/>
      <c r="O67" s="282">
        <f>'IBS Action Plan 20170131'!P67</f>
        <v>0</v>
      </c>
      <c r="P67" s="283">
        <f>'IBS Action Plan 20170131'!Q67</f>
        <v>0</v>
      </c>
      <c r="Q67" s="283">
        <f>'IBS Action Plan 20170131'!R67</f>
        <v>0</v>
      </c>
      <c r="R67" s="283">
        <f>'IBS Action Plan 20170131'!S67</f>
        <v>0</v>
      </c>
      <c r="S67" s="283">
        <f>'IBS Action Plan 20170131'!T67</f>
        <v>0</v>
      </c>
      <c r="T67" s="283">
        <f>'IBS Action Plan 20170131'!U67</f>
        <v>0</v>
      </c>
      <c r="U67" s="283">
        <f>'IBS Action Plan 20170131'!V67</f>
        <v>0</v>
      </c>
      <c r="V67" s="283">
        <f>'IBS Action Plan 20170131'!W67</f>
        <v>0</v>
      </c>
      <c r="W67" s="283">
        <f>'IBS Action Plan 20170131'!X67</f>
        <v>0</v>
      </c>
      <c r="X67" s="283">
        <f>'IBS Action Plan 20170131'!Y67</f>
        <v>0</v>
      </c>
      <c r="Y67" s="283">
        <f>'IBS Action Plan 20170131'!Z67</f>
        <v>67</v>
      </c>
      <c r="Z67" s="153"/>
    </row>
    <row r="68" spans="1:26" x14ac:dyDescent="0.3">
      <c r="A68" s="745"/>
      <c r="B68" s="29" t="str">
        <f>'IBS Action Plan 20170131'!B68</f>
        <v>Bill'S Creek</v>
      </c>
      <c r="C68" s="162">
        <f>'IBS Action Plan 20170131'!C68</f>
        <v>144</v>
      </c>
      <c r="D68" s="162">
        <f>'IBS Action Plan 20170131'!D68</f>
        <v>339</v>
      </c>
      <c r="E68" s="162">
        <f>'IBS Action Plan 20170131'!E68</f>
        <v>1054</v>
      </c>
      <c r="F68" s="162">
        <f>'IBS Action Plan 20170131'!F68</f>
        <v>1007</v>
      </c>
      <c r="G68" s="162">
        <f>'IBS Action Plan 20170131'!G68</f>
        <v>2544</v>
      </c>
      <c r="H68" s="162">
        <f>'IBS Action Plan 20170131'!H68</f>
        <v>2040.5</v>
      </c>
      <c r="I68" s="426">
        <f>'IBS Action Plan 20170131'!I68</f>
        <v>0.80208333333333337</v>
      </c>
      <c r="J68" s="162">
        <f>'IBS Action Plan 20170131'!J68</f>
        <v>61</v>
      </c>
      <c r="K68" s="162">
        <f>'IBS Action Plan 20170131'!K68</f>
        <v>86</v>
      </c>
      <c r="L68" s="162">
        <f>'IBS Action Plan 20170131'!L68</f>
        <v>2519</v>
      </c>
      <c r="M68" s="162" t="str">
        <f>'IBS Action Plan 20170131'!N68</f>
        <v>2016-23</v>
      </c>
      <c r="N68" s="157"/>
      <c r="O68" s="282">
        <f>'IBS Action Plan 20170131'!P68</f>
        <v>0</v>
      </c>
      <c r="P68" s="283">
        <f>'IBS Action Plan 20170131'!Q68</f>
        <v>0</v>
      </c>
      <c r="Q68" s="283">
        <f>'IBS Action Plan 20170131'!R68</f>
        <v>0</v>
      </c>
      <c r="R68" s="283">
        <f>'IBS Action Plan 20170131'!S68</f>
        <v>0</v>
      </c>
      <c r="S68" s="283">
        <f>'IBS Action Plan 20170131'!T68</f>
        <v>0</v>
      </c>
      <c r="T68" s="283">
        <f>'IBS Action Plan 20170131'!U68</f>
        <v>0</v>
      </c>
      <c r="U68" s="283">
        <f>'IBS Action Plan 20170131'!V68</f>
        <v>0</v>
      </c>
      <c r="V68" s="283">
        <f>'IBS Action Plan 20170131'!W68</f>
        <v>0</v>
      </c>
      <c r="W68" s="283">
        <f>'IBS Action Plan 20170131'!X68</f>
        <v>0</v>
      </c>
      <c r="X68" s="283">
        <f>'IBS Action Plan 20170131'!Y68</f>
        <v>0</v>
      </c>
      <c r="Y68" s="283">
        <f>'IBS Action Plan 20170131'!Z68</f>
        <v>2605</v>
      </c>
      <c r="Z68" s="153"/>
    </row>
    <row r="69" spans="1:26" x14ac:dyDescent="0.3">
      <c r="A69" s="745"/>
      <c r="B69" s="29" t="str">
        <f>'IBS Action Plan 20170131'!B69</f>
        <v>Kerry</v>
      </c>
      <c r="C69" s="162">
        <f>'IBS Action Plan 20170131'!C69</f>
        <v>0</v>
      </c>
      <c r="D69" s="162">
        <f>'IBS Action Plan 20170131'!D69</f>
        <v>0</v>
      </c>
      <c r="E69" s="162">
        <f>'IBS Action Plan 20170131'!E69</f>
        <v>82</v>
      </c>
      <c r="F69" s="162">
        <f>'IBS Action Plan 20170131'!F69</f>
        <v>169</v>
      </c>
      <c r="G69" s="162">
        <f>'IBS Action Plan 20170131'!G69</f>
        <v>251</v>
      </c>
      <c r="H69" s="162">
        <f>'IBS Action Plan 20170131'!H69</f>
        <v>166.5</v>
      </c>
      <c r="I69" s="426">
        <f>'IBS Action Plan 20170131'!I69</f>
        <v>0.6633466135458167</v>
      </c>
      <c r="J69" s="162">
        <f>'IBS Action Plan 20170131'!J69</f>
        <v>140</v>
      </c>
      <c r="K69" s="162">
        <f>'IBS Action Plan 20170131'!K69</f>
        <v>2</v>
      </c>
      <c r="L69" s="162">
        <f>'IBS Action Plan 20170131'!L69</f>
        <v>389</v>
      </c>
      <c r="M69" s="162" t="str">
        <f>'IBS Action Plan 20170131'!N69</f>
        <v>2020</v>
      </c>
      <c r="N69" s="157"/>
      <c r="O69" s="282">
        <f>'IBS Action Plan 20170131'!P69</f>
        <v>0</v>
      </c>
      <c r="P69" s="283">
        <f>'IBS Action Plan 20170131'!Q69</f>
        <v>0</v>
      </c>
      <c r="Q69" s="283">
        <f>'IBS Action Plan 20170131'!R69</f>
        <v>0</v>
      </c>
      <c r="R69" s="283">
        <f>'IBS Action Plan 20170131'!S69</f>
        <v>0</v>
      </c>
      <c r="S69" s="283">
        <f>'IBS Action Plan 20170131'!T69</f>
        <v>0</v>
      </c>
      <c r="T69" s="283">
        <f>'IBS Action Plan 20170131'!U69</f>
        <v>0</v>
      </c>
      <c r="U69" s="283">
        <f>'IBS Action Plan 20170131'!V69</f>
        <v>0</v>
      </c>
      <c r="V69" s="283">
        <f>'IBS Action Plan 20170131'!W69</f>
        <v>0</v>
      </c>
      <c r="W69" s="283">
        <f>'IBS Action Plan 20170131'!X69</f>
        <v>0</v>
      </c>
      <c r="X69" s="283">
        <f>'IBS Action Plan 20170131'!Y69</f>
        <v>0</v>
      </c>
      <c r="Y69" s="283">
        <f>'IBS Action Plan 20170131'!Z69</f>
        <v>391</v>
      </c>
      <c r="Z69" s="153"/>
    </row>
    <row r="70" spans="1:26" x14ac:dyDescent="0.3">
      <c r="A70" s="745"/>
      <c r="B70" s="29" t="str">
        <f>'IBS Action Plan 20170131'!B70</f>
        <v>Goose</v>
      </c>
      <c r="C70" s="162">
        <f>'IBS Action Plan 20170131'!C70</f>
        <v>0</v>
      </c>
      <c r="D70" s="162">
        <f>'IBS Action Plan 20170131'!D70</f>
        <v>0</v>
      </c>
      <c r="E70" s="162">
        <f>'IBS Action Plan 20170131'!E70</f>
        <v>15</v>
      </c>
      <c r="F70" s="162">
        <f>'IBS Action Plan 20170131'!F70</f>
        <v>102</v>
      </c>
      <c r="G70" s="162">
        <f>'IBS Action Plan 20170131'!G70</f>
        <v>117</v>
      </c>
      <c r="H70" s="162">
        <f>'IBS Action Plan 20170131'!H70</f>
        <v>66</v>
      </c>
      <c r="I70" s="426">
        <f>'IBS Action Plan 20170131'!I70</f>
        <v>0.5641025641025641</v>
      </c>
      <c r="J70" s="162">
        <f>'IBS Action Plan 20170131'!J70</f>
        <v>65</v>
      </c>
      <c r="K70" s="162">
        <f>'IBS Action Plan 20170131'!K70</f>
        <v>0</v>
      </c>
      <c r="L70" s="162">
        <f>'IBS Action Plan 20170131'!L70</f>
        <v>182</v>
      </c>
      <c r="M70" s="162" t="str">
        <f>'IBS Action Plan 20170131'!N70</f>
        <v>2020</v>
      </c>
      <c r="N70" s="157"/>
      <c r="O70" s="282">
        <f>'IBS Action Plan 20170131'!P70</f>
        <v>0</v>
      </c>
      <c r="P70" s="283">
        <f>'IBS Action Plan 20170131'!Q70</f>
        <v>0</v>
      </c>
      <c r="Q70" s="283">
        <f>'IBS Action Plan 20170131'!R70</f>
        <v>0</v>
      </c>
      <c r="R70" s="283">
        <f>'IBS Action Plan 20170131'!S70</f>
        <v>0</v>
      </c>
      <c r="S70" s="283">
        <f>'IBS Action Plan 20170131'!T70</f>
        <v>0</v>
      </c>
      <c r="T70" s="283">
        <f>'IBS Action Plan 20170131'!U70</f>
        <v>0</v>
      </c>
      <c r="U70" s="283">
        <f>'IBS Action Plan 20170131'!V70</f>
        <v>0</v>
      </c>
      <c r="V70" s="283">
        <f>'IBS Action Plan 20170131'!W70</f>
        <v>0</v>
      </c>
      <c r="W70" s="283">
        <f>'IBS Action Plan 20170131'!X70</f>
        <v>0</v>
      </c>
      <c r="X70" s="283">
        <f>'IBS Action Plan 20170131'!Y70</f>
        <v>0</v>
      </c>
      <c r="Y70" s="283">
        <f>'IBS Action Plan 20170131'!Z70</f>
        <v>182</v>
      </c>
      <c r="Z70" s="153"/>
    </row>
    <row r="71" spans="1:26" x14ac:dyDescent="0.3">
      <c r="A71" s="746"/>
      <c r="B71" s="271" t="str">
        <f>'IBS Action Plan 20170131'!B71</f>
        <v>Tacheeda</v>
      </c>
      <c r="C71" s="78">
        <f>'IBS Action Plan 20170131'!C71</f>
        <v>59</v>
      </c>
      <c r="D71" s="78">
        <f>'IBS Action Plan 20170131'!D71</f>
        <v>130</v>
      </c>
      <c r="E71" s="78">
        <f>'IBS Action Plan 20170131'!E71</f>
        <v>126</v>
      </c>
      <c r="F71" s="78">
        <f>'IBS Action Plan 20170131'!F71</f>
        <v>286</v>
      </c>
      <c r="G71" s="78">
        <f>'IBS Action Plan 20170131'!G71</f>
        <v>601</v>
      </c>
      <c r="H71" s="78">
        <f>'IBS Action Plan 20170131'!H71</f>
        <v>458</v>
      </c>
      <c r="I71" s="427">
        <f>'IBS Action Plan 20170131'!I71</f>
        <v>0.76206322795341097</v>
      </c>
      <c r="J71" s="78">
        <f>'IBS Action Plan 20170131'!J71</f>
        <v>52</v>
      </c>
      <c r="K71" s="78">
        <f>'IBS Action Plan 20170131'!K71</f>
        <v>63</v>
      </c>
      <c r="L71" s="78">
        <f>'IBS Action Plan 20170131'!L71</f>
        <v>590</v>
      </c>
      <c r="M71" s="78" t="str">
        <f>'IBS Action Plan 20170131'!N71</f>
        <v>2017-19</v>
      </c>
      <c r="N71" s="157"/>
      <c r="O71" s="284">
        <f>'IBS Action Plan 20170131'!P71</f>
        <v>0</v>
      </c>
      <c r="P71" s="285">
        <f>'IBS Action Plan 20170131'!Q71</f>
        <v>0</v>
      </c>
      <c r="Q71" s="285">
        <f>'IBS Action Plan 20170131'!R71</f>
        <v>0</v>
      </c>
      <c r="R71" s="285">
        <f>'IBS Action Plan 20170131'!S71</f>
        <v>0</v>
      </c>
      <c r="S71" s="285">
        <f>'IBS Action Plan 20170131'!T71</f>
        <v>0</v>
      </c>
      <c r="T71" s="285">
        <f>'IBS Action Plan 20170131'!U71</f>
        <v>0</v>
      </c>
      <c r="U71" s="285">
        <f>'IBS Action Plan 20170131'!V71</f>
        <v>0</v>
      </c>
      <c r="V71" s="285">
        <f>'IBS Action Plan 20170131'!W71</f>
        <v>0</v>
      </c>
      <c r="W71" s="285">
        <f>'IBS Action Plan 20170131'!X71</f>
        <v>0</v>
      </c>
      <c r="X71" s="285">
        <f>'IBS Action Plan 20170131'!Y71</f>
        <v>0</v>
      </c>
      <c r="Y71" s="285">
        <f>'IBS Action Plan 20170131'!Z71</f>
        <v>653</v>
      </c>
      <c r="Z71" s="153"/>
    </row>
    <row r="72" spans="1:26" ht="15" thickBot="1" x14ac:dyDescent="0.35">
      <c r="A72" s="40" t="str">
        <f>'IBS Action Plan 20170131'!A72</f>
        <v>Subtotal</v>
      </c>
      <c r="B72" s="272" t="str">
        <f>'IBS Action Plan 20170131'!B72</f>
        <v>Sinclar PG District</v>
      </c>
      <c r="C72" s="273">
        <f>'IBS Action Plan 20170131'!C72</f>
        <v>364</v>
      </c>
      <c r="D72" s="273">
        <f>'IBS Action Plan 20170131'!D72</f>
        <v>2243</v>
      </c>
      <c r="E72" s="273">
        <f>'IBS Action Plan 20170131'!E72</f>
        <v>9700</v>
      </c>
      <c r="F72" s="273">
        <f>'IBS Action Plan 20170131'!F72</f>
        <v>11628</v>
      </c>
      <c r="G72" s="273">
        <f>'IBS Action Plan 20170131'!G72</f>
        <v>23935</v>
      </c>
      <c r="H72" s="273">
        <f>'IBS Action Plan 20170131'!H72</f>
        <v>18121</v>
      </c>
      <c r="I72" s="429">
        <f>'IBS Action Plan 20170131'!I72</f>
        <v>0.75709212450386465</v>
      </c>
      <c r="J72" s="273">
        <f>'IBS Action Plan 20170131'!J72</f>
        <v>1033</v>
      </c>
      <c r="K72" s="273">
        <f>'IBS Action Plan 20170131'!K72</f>
        <v>3041</v>
      </c>
      <c r="L72" s="273">
        <f>'IBS Action Plan 20170131'!L72</f>
        <v>21927</v>
      </c>
      <c r="M72" s="274">
        <f>'IBS Action Plan 20170131'!N72</f>
        <v>0</v>
      </c>
      <c r="N72" s="157"/>
      <c r="O72" s="290">
        <f>'IBS Action Plan 20170131'!P72</f>
        <v>0</v>
      </c>
      <c r="P72" s="291">
        <f>'IBS Action Plan 20170131'!Q72</f>
        <v>4</v>
      </c>
      <c r="Q72" s="291">
        <f>'IBS Action Plan 20170131'!R72</f>
        <v>469</v>
      </c>
      <c r="R72" s="291">
        <f>'IBS Action Plan 20170131'!S72</f>
        <v>1521</v>
      </c>
      <c r="S72" s="291">
        <f>'IBS Action Plan 20170131'!T72</f>
        <v>3345</v>
      </c>
      <c r="T72" s="291">
        <f>'IBS Action Plan 20170131'!U72</f>
        <v>24</v>
      </c>
      <c r="U72" s="291">
        <f>'IBS Action Plan 20170131'!V72</f>
        <v>5363</v>
      </c>
      <c r="V72" s="291">
        <f>'IBS Action Plan 20170131'!W72</f>
        <v>2305</v>
      </c>
      <c r="W72" s="291">
        <f>'IBS Action Plan 20170131'!X72</f>
        <v>3058</v>
      </c>
      <c r="X72" s="291">
        <f>'IBS Action Plan 20170131'!Y72</f>
        <v>0</v>
      </c>
      <c r="Y72" s="291">
        <f>'IBS Action Plan 20170131'!Z72</f>
        <v>30331</v>
      </c>
      <c r="Z72" s="35"/>
    </row>
    <row r="73" spans="1:26" ht="15" thickBot="1" x14ac:dyDescent="0.35">
      <c r="A73" s="243" t="str">
        <f>'IBS Action Plan 20170131'!A73</f>
        <v>Total</v>
      </c>
      <c r="B73" s="244" t="str">
        <f>'IBS Action Plan 20170131'!B73</f>
        <v>PG District</v>
      </c>
      <c r="C73" s="270">
        <f>'IBS Action Plan 20170131'!C73</f>
        <v>423</v>
      </c>
      <c r="D73" s="270">
        <f>'IBS Action Plan 20170131'!D73</f>
        <v>3302</v>
      </c>
      <c r="E73" s="270">
        <f>'IBS Action Plan 20170131'!E73</f>
        <v>13988</v>
      </c>
      <c r="F73" s="270">
        <f>'IBS Action Plan 20170131'!F73</f>
        <v>32879</v>
      </c>
      <c r="G73" s="270">
        <f>'IBS Action Plan 20170131'!G73</f>
        <v>50592</v>
      </c>
      <c r="H73" s="270">
        <f>'IBS Action Plan 20170131'!H73</f>
        <v>34152.5</v>
      </c>
      <c r="I73" s="430">
        <f>'IBS Action Plan 20170131'!I73</f>
        <v>0.67505732131562302</v>
      </c>
      <c r="J73" s="270">
        <f>'IBS Action Plan 20170131'!J73</f>
        <v>14232</v>
      </c>
      <c r="K73" s="270">
        <f>'IBS Action Plan 20170131'!K73</f>
        <v>8619</v>
      </c>
      <c r="L73" s="270">
        <f>'IBS Action Plan 20170131'!L73</f>
        <v>56208</v>
      </c>
      <c r="M73" s="264">
        <f>'IBS Action Plan 20170131'!N73</f>
        <v>0</v>
      </c>
      <c r="N73" s="157"/>
      <c r="O73" s="292">
        <f>'IBS Action Plan 20170131'!P73</f>
        <v>0</v>
      </c>
      <c r="P73" s="293">
        <f>'IBS Action Plan 20170131'!Q73</f>
        <v>4</v>
      </c>
      <c r="Q73" s="293">
        <f>'IBS Action Plan 20170131'!R73</f>
        <v>654</v>
      </c>
      <c r="R73" s="293">
        <f>'IBS Action Plan 20170131'!S73</f>
        <v>1938</v>
      </c>
      <c r="S73" s="293">
        <f>'IBS Action Plan 20170131'!T73</f>
        <v>4947</v>
      </c>
      <c r="T73" s="293">
        <f>'IBS Action Plan 20170131'!U73</f>
        <v>1863</v>
      </c>
      <c r="U73" s="293">
        <f>'IBS Action Plan 20170131'!V73</f>
        <v>9406</v>
      </c>
      <c r="V73" s="293">
        <f>'IBS Action Plan 20170131'!W73</f>
        <v>2822.6</v>
      </c>
      <c r="W73" s="293">
        <f>'IBS Action Plan 20170131'!X73</f>
        <v>6583.4</v>
      </c>
      <c r="X73" s="293">
        <f>'IBS Action Plan 20170131'!Y73</f>
        <v>0</v>
      </c>
      <c r="Y73" s="293">
        <f>'IBS Action Plan 20170131'!Z73</f>
        <v>74230</v>
      </c>
      <c r="Z73" s="35"/>
    </row>
    <row r="74" spans="1:26" ht="15" thickBot="1" x14ac:dyDescent="0.35">
      <c r="A74" s="247"/>
      <c r="B74" s="248" t="str">
        <f>'IBS Action Plan 20170131'!B74</f>
        <v>Volume (m3; @275m3/ha)</v>
      </c>
      <c r="C74" s="270">
        <f>'IBS Action Plan 20170131'!C74</f>
        <v>116325</v>
      </c>
      <c r="D74" s="270">
        <f>'IBS Action Plan 20170131'!D74</f>
        <v>908050</v>
      </c>
      <c r="E74" s="270">
        <f>'IBS Action Plan 20170131'!E74</f>
        <v>3846700</v>
      </c>
      <c r="F74" s="270">
        <f>'IBS Action Plan 20170131'!F74</f>
        <v>9041725</v>
      </c>
      <c r="G74" s="270">
        <f>'IBS Action Plan 20170131'!G74</f>
        <v>13912800</v>
      </c>
      <c r="H74" s="270">
        <f>'IBS Action Plan 20170131'!H74</f>
        <v>9391937.5</v>
      </c>
      <c r="I74" s="430"/>
      <c r="J74" s="270">
        <f>'IBS Action Plan 20170131'!J74</f>
        <v>0</v>
      </c>
      <c r="K74" s="270">
        <f>'IBS Action Plan 20170131'!K74</f>
        <v>0</v>
      </c>
      <c r="L74" s="270">
        <f>'IBS Action Plan 20170131'!L74</f>
        <v>0</v>
      </c>
      <c r="M74" s="264">
        <f>'IBS Action Plan 20170131'!N74</f>
        <v>0</v>
      </c>
      <c r="N74" s="157"/>
      <c r="O74" s="292">
        <f>'IBS Action Plan 20170131'!P74</f>
        <v>0</v>
      </c>
      <c r="P74" s="293">
        <f>'IBS Action Plan 20170131'!Q74</f>
        <v>0</v>
      </c>
      <c r="Q74" s="293">
        <f>'IBS Action Plan 20170131'!R74</f>
        <v>0</v>
      </c>
      <c r="R74" s="293">
        <f>'IBS Action Plan 20170131'!S74</f>
        <v>0</v>
      </c>
      <c r="S74" s="293">
        <f>'IBS Action Plan 20170131'!T74</f>
        <v>0</v>
      </c>
      <c r="T74" s="293">
        <f>'IBS Action Plan 20170131'!U74</f>
        <v>0</v>
      </c>
      <c r="U74" s="293">
        <f>'IBS Action Plan 20170131'!V74</f>
        <v>0</v>
      </c>
      <c r="V74" s="293">
        <f>'IBS Action Plan 20170131'!W74</f>
        <v>0</v>
      </c>
      <c r="W74" s="293">
        <f>'IBS Action Plan 20170131'!X74</f>
        <v>0</v>
      </c>
      <c r="X74" s="293">
        <f>'IBS Action Plan 20170131'!Y74</f>
        <v>0</v>
      </c>
      <c r="Y74" s="293">
        <f>'IBS Action Plan 20170131'!Z74</f>
        <v>0</v>
      </c>
      <c r="Z74" s="35"/>
    </row>
    <row r="75" spans="1:26" ht="15" hidden="1" thickBot="1" x14ac:dyDescent="0.35">
      <c r="A75" s="234" t="s">
        <v>7</v>
      </c>
      <c r="B75" s="235" t="s">
        <v>131</v>
      </c>
      <c r="C75" s="239">
        <f t="shared" ref="C75:L75" si="16">C28+C73</f>
        <v>2876.7891420000001</v>
      </c>
      <c r="D75" s="236">
        <f t="shared" si="16"/>
        <v>4669.1656970000004</v>
      </c>
      <c r="E75" s="236">
        <f t="shared" si="16"/>
        <v>23543.411986999999</v>
      </c>
      <c r="F75" s="236">
        <f t="shared" si="16"/>
        <v>44489.588660000001</v>
      </c>
      <c r="G75" s="236">
        <f t="shared" si="16"/>
        <v>75578.955485999992</v>
      </c>
      <c r="H75" s="236" t="e">
        <f t="shared" si="16"/>
        <v>#REF!</v>
      </c>
      <c r="I75" s="236"/>
      <c r="J75" s="236">
        <f t="shared" si="16"/>
        <v>28282.732049999999</v>
      </c>
      <c r="K75" s="236">
        <f t="shared" si="16"/>
        <v>15095.090694</v>
      </c>
      <c r="L75" s="236">
        <f t="shared" si="16"/>
        <v>88769.596841999999</v>
      </c>
      <c r="M75" s="237"/>
      <c r="N75" s="157"/>
      <c r="O75" s="59"/>
      <c r="P75" s="86">
        <f t="shared" ref="P75:W75" si="17">P28+P73</f>
        <v>588.45888500000001</v>
      </c>
      <c r="Q75" s="108">
        <f t="shared" si="17"/>
        <v>797.29147399999999</v>
      </c>
      <c r="R75" s="108">
        <f t="shared" si="17"/>
        <v>12832.175846</v>
      </c>
      <c r="S75" s="108">
        <f t="shared" si="17"/>
        <v>10684.714630999999</v>
      </c>
      <c r="T75" s="108">
        <f t="shared" si="17"/>
        <v>7196.7981950000003</v>
      </c>
      <c r="U75" s="119">
        <f t="shared" si="17"/>
        <v>32099.439031000002</v>
      </c>
      <c r="V75" s="86">
        <f t="shared" si="17"/>
        <v>13052.239030000001</v>
      </c>
      <c r="W75" s="120">
        <f t="shared" si="17"/>
        <v>19047.199999999997</v>
      </c>
      <c r="X75" s="67"/>
      <c r="Y75" s="111">
        <f>+G75+U75</f>
        <v>107678.39451699999</v>
      </c>
      <c r="Z75" s="2"/>
    </row>
    <row r="76" spans="1:26" ht="15" hidden="1" thickBot="1" x14ac:dyDescent="0.35">
      <c r="A76" s="14"/>
      <c r="B76" s="238" t="s">
        <v>180</v>
      </c>
      <c r="C76" s="240" t="e">
        <f t="shared" ref="C76:J76" si="18">+C29+C74</f>
        <v>#REF!</v>
      </c>
      <c r="D76" s="241" t="e">
        <f t="shared" si="18"/>
        <v>#REF!</v>
      </c>
      <c r="E76" s="241" t="e">
        <f t="shared" si="18"/>
        <v>#REF!</v>
      </c>
      <c r="F76" s="241" t="e">
        <f t="shared" si="18"/>
        <v>#REF!</v>
      </c>
      <c r="G76" s="241" t="e">
        <f t="shared" si="18"/>
        <v>#REF!</v>
      </c>
      <c r="H76" s="241">
        <f t="shared" si="18"/>
        <v>9391937.5</v>
      </c>
      <c r="I76" s="241"/>
      <c r="J76" s="241" t="e">
        <f t="shared" si="18"/>
        <v>#REF!</v>
      </c>
      <c r="K76" s="241"/>
      <c r="L76" s="241"/>
      <c r="M76" s="242"/>
      <c r="N76" s="157"/>
      <c r="O76" s="233"/>
      <c r="P76" s="232"/>
      <c r="Q76" s="232"/>
      <c r="R76" s="232"/>
      <c r="S76" s="232"/>
      <c r="T76" s="232"/>
      <c r="U76" s="232"/>
      <c r="V76" s="232"/>
      <c r="W76" s="232"/>
      <c r="X76" s="233"/>
      <c r="Y76" s="146"/>
      <c r="Z76" s="2"/>
    </row>
    <row r="77" spans="1:26" x14ac:dyDescent="0.3">
      <c r="A77" s="153"/>
      <c r="B77" s="153"/>
      <c r="C77" s="153"/>
      <c r="D77" s="153"/>
      <c r="E77" s="153"/>
      <c r="F77" s="153"/>
      <c r="G77" s="153"/>
      <c r="H77" s="153"/>
      <c r="J77" s="153"/>
      <c r="K77" s="153"/>
      <c r="L77" s="153"/>
      <c r="M77" s="50"/>
      <c r="N77" s="153"/>
      <c r="O77" s="153"/>
      <c r="P77" s="153"/>
      <c r="Q77" s="153"/>
      <c r="R77" s="153"/>
      <c r="S77" s="153"/>
      <c r="T77" s="153"/>
      <c r="U77" s="153"/>
      <c r="V77" s="153"/>
      <c r="W77" s="153"/>
      <c r="X77" s="153"/>
      <c r="Y77" s="153"/>
      <c r="Z77" s="153"/>
    </row>
  </sheetData>
  <mergeCells count="13">
    <mergeCell ref="A60:A71"/>
    <mergeCell ref="A4:M4"/>
    <mergeCell ref="O4:X4"/>
    <mergeCell ref="A5:A7"/>
    <mergeCell ref="B5:B7"/>
    <mergeCell ref="C5:F5"/>
    <mergeCell ref="O5:O7"/>
    <mergeCell ref="P5:T5"/>
    <mergeCell ref="A9:A12"/>
    <mergeCell ref="A14:A22"/>
    <mergeCell ref="A24:A26"/>
    <mergeCell ref="A30:A40"/>
    <mergeCell ref="A42:A58"/>
  </mergeCells>
  <pageMargins left="0.7" right="0.7" top="0.75" bottom="0.75" header="0.3" footer="0.3"/>
  <pageSetup paperSize="3" scale="6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M28"/>
  <sheetViews>
    <sheetView workbookViewId="0">
      <selection activeCell="B1" sqref="B1"/>
    </sheetView>
  </sheetViews>
  <sheetFormatPr defaultRowHeight="14.4" x14ac:dyDescent="0.3"/>
  <cols>
    <col min="1" max="1" width="2.5546875" customWidth="1"/>
    <col min="2" max="2" width="21.109375" customWidth="1"/>
    <col min="3" max="3" width="12" bestFit="1" customWidth="1"/>
    <col min="4" max="4" width="11" bestFit="1" customWidth="1"/>
    <col min="5" max="5" width="12" bestFit="1" customWidth="1"/>
    <col min="6" max="6" width="10" bestFit="1" customWidth="1"/>
    <col min="7" max="7" width="12" bestFit="1" customWidth="1"/>
    <col min="8" max="8" width="14.21875" bestFit="1" customWidth="1"/>
    <col min="9" max="9" width="27.21875" customWidth="1"/>
    <col min="10" max="10" width="14.44140625" bestFit="1" customWidth="1"/>
    <col min="11" max="11" width="27.6640625" bestFit="1" customWidth="1"/>
  </cols>
  <sheetData>
    <row r="4" spans="2:11" x14ac:dyDescent="0.3">
      <c r="B4" s="655" t="s">
        <v>41</v>
      </c>
      <c r="C4" s="569"/>
      <c r="D4" s="569"/>
      <c r="E4" s="569"/>
      <c r="F4" s="569"/>
      <c r="G4" s="569"/>
      <c r="H4" s="569"/>
      <c r="I4" s="569"/>
      <c r="J4" s="569"/>
      <c r="K4" s="569"/>
    </row>
    <row r="5" spans="2:11" x14ac:dyDescent="0.3">
      <c r="B5" s="569"/>
      <c r="C5" s="656">
        <f>'Constrained Slide'!P9</f>
        <v>0</v>
      </c>
      <c r="D5" s="656">
        <f>'Constrained Slide'!Q9</f>
        <v>0</v>
      </c>
      <c r="E5" s="656">
        <f>'Constrained Slide'!R9</f>
        <v>0</v>
      </c>
      <c r="F5" s="656">
        <f>'Constrained Slide'!S9</f>
        <v>0</v>
      </c>
      <c r="G5" s="656">
        <f>'Constrained Slide'!T9</f>
        <v>425</v>
      </c>
      <c r="H5" s="656">
        <f>'Constrained Slide'!U9</f>
        <v>425</v>
      </c>
      <c r="I5" s="569" t="s">
        <v>117</v>
      </c>
      <c r="J5" s="569"/>
      <c r="K5" s="569"/>
    </row>
    <row r="6" spans="2:11" x14ac:dyDescent="0.3">
      <c r="B6" s="569"/>
      <c r="C6" s="656">
        <f>+'Constrained Slide'!P10+'Constrained Slide'!P11+'Constrained Slide'!P17+'Constrained Slide'!P20+'Constrained Slide'!P24+'Constrained Slide'!P25+'Constrained Slide'!P26+'Constrained Slide'!P39</f>
        <v>584.45888500000001</v>
      </c>
      <c r="D6" s="656">
        <f>+'Constrained Slide'!Q10+'Constrained Slide'!Q11+'Constrained Slide'!Q17+'Constrained Slide'!Q20+'Constrained Slide'!Q24+'Constrained Slide'!Q25+'Constrained Slide'!Q26+'Constrained Slide'!Q39</f>
        <v>316.29147399999999</v>
      </c>
      <c r="E6" s="656">
        <f>+'Constrained Slide'!R10+'Constrained Slide'!R11+'Constrained Slide'!R17+'Constrained Slide'!R20+'Constrained Slide'!R24+'Constrained Slide'!R25+'Constrained Slide'!R26+'Constrained Slide'!R39</f>
        <v>10894.175846</v>
      </c>
      <c r="F6" s="656">
        <f>+'Constrained Slide'!S10+'Constrained Slide'!S11+'Constrained Slide'!S17+'Constrained Slide'!S20+'Constrained Slide'!S24+'Constrained Slide'!S25+'Constrained Slide'!S26+'Constrained Slide'!S39</f>
        <v>5772.7146309999998</v>
      </c>
      <c r="G6" s="656">
        <f>+'Constrained Slide'!T10+'Constrained Slide'!T11+'Constrained Slide'!T17+'Constrained Slide'!T20+'Constrained Slide'!T24+'Constrained Slide'!T25+'Constrained Slide'!T26+'Constrained Slide'!T39</f>
        <v>5239.7981950000003</v>
      </c>
      <c r="H6" s="656">
        <f>+'Constrained Slide'!U10+'Constrained Slide'!U11+'Constrained Slide'!U17+'Constrained Slide'!U20+'Constrained Slide'!U24+'Constrained Slide'!U25+'Constrained Slide'!U26+'Constrained Slide'!U39</f>
        <v>22807.439031000002</v>
      </c>
      <c r="I6" s="569" t="s">
        <v>221</v>
      </c>
      <c r="J6" s="569"/>
      <c r="K6" s="569"/>
    </row>
    <row r="7" spans="2:11" x14ac:dyDescent="0.3">
      <c r="B7" s="569"/>
      <c r="C7" s="656">
        <f>'Constrained Slide'!P32+'Constrained Slide'!P33+'Constrained Slide'!P37+'Constrained Slide'!P38</f>
        <v>0</v>
      </c>
      <c r="D7" s="656">
        <f>'Constrained Slide'!Q32+'Constrained Slide'!Q33+'Constrained Slide'!Q37+'Constrained Slide'!Q38</f>
        <v>0</v>
      </c>
      <c r="E7" s="656">
        <f>'Constrained Slide'!R32+'Constrained Slide'!R33+'Constrained Slide'!R37+'Constrained Slide'!R38</f>
        <v>2</v>
      </c>
      <c r="F7" s="656">
        <f>'Constrained Slide'!S32+'Constrained Slide'!S33+'Constrained Slide'!S37+'Constrained Slide'!S38</f>
        <v>37</v>
      </c>
      <c r="G7" s="656">
        <f>'Constrained Slide'!T32+'Constrained Slide'!T33+'Constrained Slide'!T37+'Constrained Slide'!T38</f>
        <v>98</v>
      </c>
      <c r="H7" s="656">
        <f>'Constrained Slide'!U32+'Constrained Slide'!U33+'Constrained Slide'!U37+'Constrained Slide'!U38</f>
        <v>137</v>
      </c>
      <c r="I7" s="569" t="s">
        <v>222</v>
      </c>
      <c r="J7" s="569"/>
      <c r="K7" s="569"/>
    </row>
    <row r="8" spans="2:11" x14ac:dyDescent="0.3">
      <c r="B8" s="569" t="s">
        <v>201</v>
      </c>
      <c r="C8" s="657">
        <f t="shared" ref="C8:G8" si="0">SUM(C5:C7)</f>
        <v>584.45888500000001</v>
      </c>
      <c r="D8" s="657">
        <f t="shared" si="0"/>
        <v>316.29147399999999</v>
      </c>
      <c r="E8" s="657">
        <f t="shared" si="0"/>
        <v>10896.175846</v>
      </c>
      <c r="F8" s="657">
        <f t="shared" si="0"/>
        <v>5809.7146309999998</v>
      </c>
      <c r="G8" s="657">
        <f t="shared" si="0"/>
        <v>5762.7981950000003</v>
      </c>
      <c r="H8" s="657">
        <f>SUM(H5:H7)</f>
        <v>23369.439031000002</v>
      </c>
      <c r="I8" s="569"/>
      <c r="J8" s="569"/>
      <c r="K8" s="569"/>
    </row>
    <row r="9" spans="2:11" s="632" customFormat="1" x14ac:dyDescent="0.3">
      <c r="B9" s="569"/>
      <c r="C9" s="658">
        <f>'Constrained Slide'!P16</f>
        <v>0</v>
      </c>
      <c r="D9" s="658">
        <f>'Constrained Slide'!Q16</f>
        <v>0</v>
      </c>
      <c r="E9" s="658">
        <f>'Constrained Slide'!R16</f>
        <v>6</v>
      </c>
      <c r="F9" s="658">
        <f>'Constrained Slide'!S16</f>
        <v>0</v>
      </c>
      <c r="G9" s="658">
        <f>'Constrained Slide'!T16</f>
        <v>42</v>
      </c>
      <c r="H9" s="658">
        <f>'Constrained Slide'!U16</f>
        <v>48</v>
      </c>
      <c r="I9" s="569" t="s">
        <v>246</v>
      </c>
      <c r="J9" s="569"/>
      <c r="K9" s="569"/>
    </row>
    <row r="10" spans="2:11" x14ac:dyDescent="0.3">
      <c r="B10" s="569"/>
      <c r="C10" s="656">
        <f>+'Constrained Slide'!P14+'Constrained Slide'!P46+'Constrained Slide'!P47+'Constrained Slide'!P55+'Constrained Slide'!P62+'Constrained Slide'!P63+'Constrained Slide'!P64</f>
        <v>4</v>
      </c>
      <c r="D10" s="656">
        <f>+'Constrained Slide'!Q14+'Constrained Slide'!Q46+'Constrained Slide'!Q47+'Constrained Slide'!Q55+'Constrained Slide'!Q62+'Constrained Slide'!Q63+'Constrained Slide'!Q64</f>
        <v>481</v>
      </c>
      <c r="E10" s="656">
        <f>+'Constrained Slide'!R14+'Constrained Slide'!R46+'Constrained Slide'!R47+'Constrained Slide'!R55+'Constrained Slide'!R62+'Constrained Slide'!R63+'Constrained Slide'!R64</f>
        <v>1947</v>
      </c>
      <c r="F10" s="656">
        <f>+'Constrained Slide'!S14+'Constrained Slide'!S46+'Constrained Slide'!S47+'Constrained Slide'!S55+'Constrained Slide'!S62+'Constrained Slide'!S63+'Constrained Slide'!S64</f>
        <v>4004</v>
      </c>
      <c r="G10" s="656">
        <f>+'Constrained Slide'!T14+'Constrained Slide'!T46+'Constrained Slide'!T47+'Constrained Slide'!T55+'Constrained Slide'!T62+'Constrained Slide'!T63+'Constrained Slide'!T64</f>
        <v>358</v>
      </c>
      <c r="H10" s="656">
        <f>+'Constrained Slide'!U14+'Constrained Slide'!U46+'Constrained Slide'!U47+'Constrained Slide'!U55+'Constrained Slide'!U62+'Constrained Slide'!U63+'Constrained Slide'!U64</f>
        <v>6794</v>
      </c>
      <c r="I10" s="569" t="s">
        <v>223</v>
      </c>
      <c r="J10" s="569"/>
      <c r="K10" s="569"/>
    </row>
    <row r="11" spans="2:11" x14ac:dyDescent="0.3">
      <c r="B11" s="569"/>
      <c r="C11" s="656">
        <f>'Constrained Slide'!P54</f>
        <v>0</v>
      </c>
      <c r="D11" s="656">
        <f>'Constrained Slide'!Q54</f>
        <v>0</v>
      </c>
      <c r="E11" s="656">
        <f>'Constrained Slide'!R54</f>
        <v>0</v>
      </c>
      <c r="F11" s="656">
        <f>'Constrained Slide'!S54</f>
        <v>891</v>
      </c>
      <c r="G11" s="656">
        <f>'Constrained Slide'!T54</f>
        <v>1298</v>
      </c>
      <c r="H11" s="656">
        <f>'Constrained Slide'!U54</f>
        <v>2189</v>
      </c>
      <c r="I11" s="569" t="s">
        <v>211</v>
      </c>
      <c r="J11" s="569"/>
      <c r="K11" s="569"/>
    </row>
    <row r="12" spans="2:11" x14ac:dyDescent="0.3">
      <c r="B12" s="569" t="s">
        <v>200</v>
      </c>
      <c r="C12" s="657">
        <f>SUM(C9:C11)</f>
        <v>4</v>
      </c>
      <c r="D12" s="657">
        <f t="shared" ref="D12:H12" si="1">SUM(D9:D11)</f>
        <v>481</v>
      </c>
      <c r="E12" s="657">
        <f t="shared" si="1"/>
        <v>1953</v>
      </c>
      <c r="F12" s="657">
        <f t="shared" si="1"/>
        <v>4895</v>
      </c>
      <c r="G12" s="657">
        <f t="shared" si="1"/>
        <v>1698</v>
      </c>
      <c r="H12" s="657">
        <f t="shared" si="1"/>
        <v>9031</v>
      </c>
      <c r="I12" s="569"/>
      <c r="J12" s="569"/>
      <c r="K12" s="569"/>
    </row>
    <row r="13" spans="2:11" x14ac:dyDescent="0.3">
      <c r="B13" s="659" t="s">
        <v>7</v>
      </c>
      <c r="C13" s="660">
        <f t="shared" ref="C13:G13" si="2">C8+C12</f>
        <v>588.45888500000001</v>
      </c>
      <c r="D13" s="660">
        <f t="shared" si="2"/>
        <v>797.29147399999999</v>
      </c>
      <c r="E13" s="660">
        <f t="shared" si="2"/>
        <v>12849.175846</v>
      </c>
      <c r="F13" s="660">
        <f t="shared" si="2"/>
        <v>10704.714630999999</v>
      </c>
      <c r="G13" s="660">
        <f t="shared" si="2"/>
        <v>7460.7981950000003</v>
      </c>
      <c r="H13" s="661">
        <f>H8+H12</f>
        <v>32400.439031000002</v>
      </c>
      <c r="I13" s="656">
        <f>H13-J13</f>
        <v>0</v>
      </c>
      <c r="J13" s="664">
        <f>'Constrained Slide'!U75</f>
        <v>32400.439031000002</v>
      </c>
      <c r="K13" s="569"/>
    </row>
    <row r="14" spans="2:11" x14ac:dyDescent="0.3">
      <c r="B14" s="569"/>
      <c r="C14" s="569"/>
      <c r="D14" s="569"/>
      <c r="E14" s="569"/>
      <c r="F14" s="569"/>
      <c r="G14" s="569"/>
      <c r="H14" s="569"/>
      <c r="I14" s="569"/>
      <c r="J14" s="569"/>
      <c r="K14" s="569"/>
    </row>
    <row r="15" spans="2:11" x14ac:dyDescent="0.3">
      <c r="B15" s="569"/>
      <c r="C15" s="569"/>
      <c r="D15" s="569"/>
      <c r="E15" s="569"/>
      <c r="F15" s="569"/>
      <c r="G15" s="569"/>
      <c r="H15" s="569"/>
      <c r="I15" s="569"/>
      <c r="J15" s="569"/>
      <c r="K15" s="569"/>
    </row>
    <row r="16" spans="2:11" x14ac:dyDescent="0.3">
      <c r="B16" s="655" t="s">
        <v>39</v>
      </c>
      <c r="C16" s="569"/>
      <c r="D16" s="569"/>
      <c r="E16" s="569"/>
      <c r="F16" s="569"/>
      <c r="G16" s="569"/>
      <c r="H16" s="569"/>
      <c r="I16" s="569"/>
      <c r="J16" s="569"/>
      <c r="K16" s="569"/>
    </row>
    <row r="17" spans="2:13" x14ac:dyDescent="0.3">
      <c r="B17" s="569"/>
      <c r="C17" s="569"/>
      <c r="D17" s="569"/>
      <c r="E17" s="569"/>
      <c r="F17" s="569"/>
      <c r="G17" s="569" t="str">
        <f>'IBS Action Plan 20170131'!G5</f>
        <v>Total Area AOS (ha)</v>
      </c>
      <c r="H17" s="569" t="str">
        <f>'IBS Action Plan 20170131'!J5</f>
        <v>Monitor Trap Tree/Trace (ha)</v>
      </c>
      <c r="I17" s="569" t="str">
        <f>'IBS Action Plan 20170131'!K5</f>
        <v>Total Area AOS + Monitor (Trace)</v>
      </c>
      <c r="J17" s="569" t="str">
        <f>'IBS Action Plan 20170131'!Z5</f>
        <v>Total Area AOS + Monitor + Constrained (ha)</v>
      </c>
      <c r="K17" s="569"/>
    </row>
    <row r="18" spans="2:13" x14ac:dyDescent="0.3">
      <c r="B18" s="569"/>
      <c r="C18" s="569"/>
      <c r="D18" s="569"/>
      <c r="E18" s="569"/>
      <c r="F18" s="569"/>
      <c r="G18" s="569">
        <f>'IBS Action Plan 20170131'!G6</f>
        <v>0</v>
      </c>
      <c r="H18" s="569">
        <f>'IBS Action Plan 20170131'!J6</f>
        <v>0</v>
      </c>
      <c r="I18" s="569"/>
      <c r="J18" s="569">
        <f>'IBS Action Plan 20170131'!Z6</f>
        <v>0</v>
      </c>
      <c r="K18" s="569"/>
    </row>
    <row r="19" spans="2:13" x14ac:dyDescent="0.3">
      <c r="B19" s="569"/>
      <c r="C19" s="569" t="str">
        <f>'IBS Action Plan 20170131'!C6</f>
        <v>VS</v>
      </c>
      <c r="D19" s="569" t="str">
        <f>'IBS Action Plan 20170131'!D6</f>
        <v>S</v>
      </c>
      <c r="E19" s="569" t="str">
        <f>'IBS Action Plan 20170131'!E6</f>
        <v>M</v>
      </c>
      <c r="F19" s="569" t="str">
        <f>'IBS Action Plan 20170131'!F6</f>
        <v>L</v>
      </c>
      <c r="G19" s="569">
        <f>'IBS Action Plan 20170131'!G7</f>
        <v>0</v>
      </c>
      <c r="H19" s="569">
        <f>'IBS Action Plan 20170131'!J7</f>
        <v>0</v>
      </c>
      <c r="I19" s="569">
        <f>'IBS Action Plan 20170131'!K7</f>
        <v>0</v>
      </c>
      <c r="J19" s="569">
        <f>'IBS Action Plan 20170131'!Z7</f>
        <v>0</v>
      </c>
      <c r="K19" s="569"/>
    </row>
    <row r="20" spans="2:13" hidden="1" x14ac:dyDescent="0.3">
      <c r="B20" s="569" t="str">
        <f>'IBS Action Plan 20170131'!B13</f>
        <v>BCTS MK TSA</v>
      </c>
      <c r="C20" s="569">
        <f>'IBS Action Plan 20170131'!C13</f>
        <v>0</v>
      </c>
      <c r="D20" s="569">
        <f>'IBS Action Plan 20170131'!D13</f>
        <v>711</v>
      </c>
      <c r="E20" s="569">
        <f>'IBS Action Plan 20170131'!E13</f>
        <v>6397</v>
      </c>
      <c r="F20" s="569">
        <f>'IBS Action Plan 20170131'!F13</f>
        <v>8888</v>
      </c>
      <c r="G20" s="569">
        <f>'IBS Action Plan 20170131'!G13</f>
        <v>15996</v>
      </c>
      <c r="H20" s="569">
        <f>'IBS Action Plan 20170131'!J13</f>
        <v>8578</v>
      </c>
      <c r="I20" s="569">
        <f>'IBS Action Plan 20170131'!K13</f>
        <v>4801</v>
      </c>
      <c r="J20" s="569"/>
      <c r="K20" s="569"/>
    </row>
    <row r="21" spans="2:13" hidden="1" x14ac:dyDescent="0.3">
      <c r="B21" s="569" t="str">
        <f>'IBS Action Plan 20170131'!B23</f>
        <v>Canfor MK TSA</v>
      </c>
      <c r="C21" s="569">
        <f>'IBS Action Plan 20170131'!C23</f>
        <v>880</v>
      </c>
      <c r="D21" s="569">
        <f>'IBS Action Plan 20170131'!D23</f>
        <v>493</v>
      </c>
      <c r="E21" s="569">
        <f>'IBS Action Plan 20170131'!E23</f>
        <v>740</v>
      </c>
      <c r="F21" s="569">
        <f>'IBS Action Plan 20170131'!F23</f>
        <v>2149</v>
      </c>
      <c r="G21" s="569">
        <f>'IBS Action Plan 20170131'!G23</f>
        <v>4262</v>
      </c>
      <c r="H21" s="569">
        <f>'IBS Action Plan 20170131'!J23</f>
        <v>4396</v>
      </c>
      <c r="I21" s="569">
        <f>'IBS Action Plan 20170131'!K23</f>
        <v>837</v>
      </c>
      <c r="J21" s="569"/>
      <c r="K21" s="569"/>
    </row>
    <row r="22" spans="2:13" hidden="1" x14ac:dyDescent="0.3">
      <c r="B22" s="569" t="str">
        <f>'IBS Action Plan 20170131'!B27</f>
        <v>Conifex MK TSA</v>
      </c>
      <c r="C22" s="569">
        <f>'IBS Action Plan 20170131'!C27</f>
        <v>1573.7891420000001</v>
      </c>
      <c r="D22" s="569">
        <f>'IBS Action Plan 20170131'!D27</f>
        <v>163.16569699999999</v>
      </c>
      <c r="E22" s="569">
        <f>'IBS Action Plan 20170131'!E27</f>
        <v>2418.411987</v>
      </c>
      <c r="F22" s="569">
        <f>'IBS Action Plan 20170131'!F27</f>
        <v>573.58866</v>
      </c>
      <c r="G22" s="569">
        <f>'IBS Action Plan 20170131'!G27</f>
        <v>4728.9554859999998</v>
      </c>
      <c r="H22" s="569">
        <f>'IBS Action Plan 20170131'!J27</f>
        <v>1076.7320500000001</v>
      </c>
      <c r="I22" s="569">
        <f>'IBS Action Plan 20170131'!K27</f>
        <v>838.09069399999998</v>
      </c>
      <c r="J22" s="569"/>
      <c r="K22" s="569"/>
    </row>
    <row r="23" spans="2:13" x14ac:dyDescent="0.3">
      <c r="B23" s="569" t="str">
        <f>'IBS Action Plan 20170131'!B28</f>
        <v>MK TSA</v>
      </c>
      <c r="C23" s="662">
        <f>'IBS Action Plan 20170131'!C28</f>
        <v>2453.7891420000001</v>
      </c>
      <c r="D23" s="662">
        <f>'IBS Action Plan 20170131'!D28</f>
        <v>1367.1656969999999</v>
      </c>
      <c r="E23" s="662">
        <f>'IBS Action Plan 20170131'!E28</f>
        <v>9555.4119869999995</v>
      </c>
      <c r="F23" s="662">
        <f>'IBS Action Plan 20170131'!F28</f>
        <v>11610.588659999999</v>
      </c>
      <c r="G23" s="662">
        <f>'IBS Action Plan 20170131'!G28</f>
        <v>24986.955485999999</v>
      </c>
      <c r="H23" s="662">
        <f>'IBS Action Plan 20170131'!J28</f>
        <v>14050.732050000001</v>
      </c>
      <c r="I23" s="662">
        <f>'IBS Action Plan 20170131'!M28</f>
        <v>39037.687535999998</v>
      </c>
      <c r="J23" s="662"/>
      <c r="K23" s="569"/>
      <c r="L23" s="153"/>
      <c r="M23" s="153"/>
    </row>
    <row r="24" spans="2:13" hidden="1" x14ac:dyDescent="0.3">
      <c r="B24" s="569" t="str">
        <f>'IBS Action Plan 20170131'!B41</f>
        <v>BCTS PG District</v>
      </c>
      <c r="C24" s="662">
        <f>'IBS Action Plan 20170131'!C41</f>
        <v>0</v>
      </c>
      <c r="D24" s="662">
        <f>'IBS Action Plan 20170131'!D41</f>
        <v>336</v>
      </c>
      <c r="E24" s="662">
        <f>'IBS Action Plan 20170131'!E41</f>
        <v>1617</v>
      </c>
      <c r="F24" s="662">
        <f>'IBS Action Plan 20170131'!F41</f>
        <v>7736</v>
      </c>
      <c r="G24" s="662">
        <f>'IBS Action Plan 20170131'!G41</f>
        <v>9689</v>
      </c>
      <c r="H24" s="662">
        <f>'IBS Action Plan 20170131'!J41</f>
        <v>2644</v>
      </c>
      <c r="I24" s="662">
        <f>'IBS Action Plan 20170131'!M41</f>
        <v>12333</v>
      </c>
      <c r="J24" s="662">
        <f>'IBS Action Plan 20170131'!L41</f>
        <v>10000</v>
      </c>
      <c r="K24" s="569"/>
      <c r="L24" s="153"/>
      <c r="M24" s="153"/>
    </row>
    <row r="25" spans="2:13" hidden="1" x14ac:dyDescent="0.3">
      <c r="B25" s="569" t="str">
        <f>'IBS Action Plan 20170131'!B59</f>
        <v>Canfor PG District + TFL 30</v>
      </c>
      <c r="C25" s="662">
        <f>'IBS Action Plan 20170131'!C59</f>
        <v>59</v>
      </c>
      <c r="D25" s="662">
        <f>'IBS Action Plan 20170131'!D59</f>
        <v>723</v>
      </c>
      <c r="E25" s="662">
        <f>'IBS Action Plan 20170131'!E59</f>
        <v>2671</v>
      </c>
      <c r="F25" s="662">
        <f>'IBS Action Plan 20170131'!F59</f>
        <v>13515</v>
      </c>
      <c r="G25" s="662">
        <f>'IBS Action Plan 20170131'!G59</f>
        <v>16968</v>
      </c>
      <c r="H25" s="662">
        <f>'IBS Action Plan 20170131'!J59</f>
        <v>10555</v>
      </c>
      <c r="I25" s="662">
        <f>'IBS Action Plan 20170131'!M59</f>
        <v>27523</v>
      </c>
      <c r="J25" s="662">
        <f>'IBS Action Plan 20170131'!L59</f>
        <v>24281</v>
      </c>
      <c r="K25" s="569"/>
      <c r="L25" s="153"/>
      <c r="M25" s="153"/>
    </row>
    <row r="26" spans="2:13" hidden="1" x14ac:dyDescent="0.3">
      <c r="B26" s="569" t="str">
        <f>'IBS Action Plan 20170131'!B72</f>
        <v>Sinclar PG District</v>
      </c>
      <c r="C26" s="662">
        <f>'IBS Action Plan 20170131'!C72</f>
        <v>364</v>
      </c>
      <c r="D26" s="662">
        <f>'IBS Action Plan 20170131'!D72</f>
        <v>2243</v>
      </c>
      <c r="E26" s="662">
        <f>'IBS Action Plan 20170131'!E72</f>
        <v>9700</v>
      </c>
      <c r="F26" s="662">
        <f>'IBS Action Plan 20170131'!F72</f>
        <v>11628</v>
      </c>
      <c r="G26" s="662">
        <f>'IBS Action Plan 20170131'!G72</f>
        <v>23935</v>
      </c>
      <c r="H26" s="662">
        <f>'IBS Action Plan 20170131'!J72</f>
        <v>1033</v>
      </c>
      <c r="I26" s="662">
        <f>'IBS Action Plan 20170131'!M72</f>
        <v>24968</v>
      </c>
      <c r="J26" s="662">
        <f>'IBS Action Plan 20170131'!L72</f>
        <v>21927</v>
      </c>
      <c r="K26" s="569"/>
      <c r="L26" s="153"/>
      <c r="M26" s="153"/>
    </row>
    <row r="27" spans="2:13" x14ac:dyDescent="0.3">
      <c r="B27" s="569" t="str">
        <f>'IBS Action Plan 20170131'!B73</f>
        <v>PG District</v>
      </c>
      <c r="C27" s="662">
        <f>'IBS Action Plan 20170131'!C73</f>
        <v>423</v>
      </c>
      <c r="D27" s="662">
        <f>'IBS Action Plan 20170131'!D73</f>
        <v>3302</v>
      </c>
      <c r="E27" s="662">
        <f>'IBS Action Plan 20170131'!E73</f>
        <v>13988</v>
      </c>
      <c r="F27" s="662">
        <f>'IBS Action Plan 20170131'!F73</f>
        <v>32879</v>
      </c>
      <c r="G27" s="662">
        <f>'IBS Action Plan 20170131'!G73</f>
        <v>50592</v>
      </c>
      <c r="H27" s="662">
        <f>'IBS Action Plan 20170131'!J73</f>
        <v>14232</v>
      </c>
      <c r="I27" s="662">
        <f>'IBS Action Plan 20170131'!M73</f>
        <v>64824</v>
      </c>
      <c r="J27" s="662"/>
      <c r="K27" s="569"/>
      <c r="L27" s="153"/>
      <c r="M27" s="153"/>
    </row>
    <row r="28" spans="2:13" x14ac:dyDescent="0.3">
      <c r="B28" s="659" t="str">
        <f>'IBS Action Plan 20170131'!B75</f>
        <v>Within Omineca Region</v>
      </c>
      <c r="C28" s="663">
        <f>'IBS Action Plan 20170131'!C75</f>
        <v>2876.7891420000001</v>
      </c>
      <c r="D28" s="663">
        <f>'IBS Action Plan 20170131'!D75</f>
        <v>4669.1656970000004</v>
      </c>
      <c r="E28" s="663">
        <f>'IBS Action Plan 20170131'!E75</f>
        <v>23543.411986999999</v>
      </c>
      <c r="F28" s="663">
        <f>'IBS Action Plan 20170131'!F75</f>
        <v>44489.588660000001</v>
      </c>
      <c r="G28" s="663">
        <f>'IBS Action Plan 20170131'!G75</f>
        <v>75578.955485999992</v>
      </c>
      <c r="H28" s="663">
        <f>'IBS Action Plan 20170131'!J75</f>
        <v>28282.732049999999</v>
      </c>
      <c r="I28" s="663">
        <f>'IBS Action Plan 20170131'!M75</f>
        <v>103861.68753599998</v>
      </c>
      <c r="J28" s="663">
        <f>I28+H13</f>
        <v>136262.126567</v>
      </c>
      <c r="K28" s="56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5</vt:i4>
      </vt:variant>
    </vt:vector>
  </HeadingPairs>
  <TitlesOfParts>
    <vt:vector size="13" baseType="lpstr">
      <vt:lpstr>IBS Action Plan 20170131</vt:lpstr>
      <vt:lpstr>Licensee AAC Capacity</vt:lpstr>
      <vt:lpstr>Constrained Slide</vt:lpstr>
      <vt:lpstr>Total AOS Slide</vt:lpstr>
      <vt:lpstr>Assumptions</vt:lpstr>
      <vt:lpstr>MK TSA</vt:lpstr>
      <vt:lpstr>PG TSA</vt:lpstr>
      <vt:lpstr>Pie chart info</vt:lpstr>
      <vt:lpstr>'Constrained Slide'!Print_Area</vt:lpstr>
      <vt:lpstr>'IBS Action Plan 20170131'!Print_Area</vt:lpstr>
      <vt:lpstr>'Licensee AAC Capacity'!Print_Area</vt:lpstr>
      <vt:lpstr>'MK TSA'!Print_Area</vt:lpstr>
      <vt:lpstr>'PG TSA'!Print_Area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tundra</dc:creator>
  <cp:lastModifiedBy>Trevor Joyce</cp:lastModifiedBy>
  <cp:lastPrinted>2017-02-07T00:06:22Z</cp:lastPrinted>
  <dcterms:created xsi:type="dcterms:W3CDTF">2016-11-25T23:10:39Z</dcterms:created>
  <dcterms:modified xsi:type="dcterms:W3CDTF">2017-02-15T16:48:11Z</dcterms:modified>
</cp:coreProperties>
</file>